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nomics.sharepoint.com/Ong/TEC8345EU REFORM - Renovation wave Estonia/Implementation/Reno wave Estonia (External)/DLV 2 - Baseline scenario/FINAL (Clean)/"/>
    </mc:Choice>
  </mc:AlternateContent>
  <xr:revisionPtr revIDLastSave="204" documentId="8_{449BB902-3182-4CA4-8F53-A494CE68FE73}" xr6:coauthVersionLast="47" xr6:coauthVersionMax="47" xr10:uidLastSave="{3FB4D620-629E-4B03-B785-DEB5D44C432B}"/>
  <bookViews>
    <workbookView minimized="1" xWindow="5448" yWindow="1908" windowWidth="13824" windowHeight="7176" firstSheet="3" activeTab="5" xr2:uid="{56A880F5-417E-4B51-BEDE-BF81743DA4B2}"/>
  </bookViews>
  <sheets>
    <sheet name="Sources " sheetId="5" r:id="rId1"/>
    <sheet name=" Macroeconomy (ktoe)" sheetId="1" r:id="rId2"/>
    <sheet name="Macroeconomy (GWh)" sheetId="13" r:id="rId3"/>
    <sheet name=" INDUSTRY (ktoe)" sheetId="2" r:id="rId4"/>
    <sheet name="Baseline scenario" sheetId="10" r:id="rId5"/>
    <sheet name="Industry (GWh)" sheetId="16" r:id="rId6"/>
    <sheet name=" Transport (ktoe)" sheetId="3" r:id="rId7"/>
    <sheet name=" Transport (GWh)" sheetId="18" r:id="rId8"/>
    <sheet name="Households (GWh)" sheetId="20" r:id="rId9"/>
    <sheet name="Households (ktoe)" sheetId="6" r:id="rId10"/>
    <sheet name="SERVICE (ktoe)" sheetId="23" r:id="rId11"/>
    <sheet name="Service (GWh)" sheetId="22" r:id="rId12"/>
    <sheet name="Energy prices" sheetId="9" r:id="rId13"/>
    <sheet name="Figures of D2" sheetId="11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Ref126055748" localSheetId="13">'Figures of D2'!$C$390</definedName>
    <definedName name="_Ref126056500" localSheetId="13">'Figures of D2'!$C$416</definedName>
    <definedName name="_Ref126072608" localSheetId="13">'Figures of D2'!$C$349</definedName>
    <definedName name="_Ref126072961" localSheetId="13">'Figures of D2'!$C$371</definedName>
    <definedName name="_Ref126073041" localSheetId="13">'Figures of D2'!$C$413</definedName>
    <definedName name="åbrslkul">[1]Brændselsforbrug!$8:$8</definedName>
    <definedName name="åbrslnga">[1]Brændselsforbrug!$7:$7</definedName>
    <definedName name="åbrsloil">[1]Brændselsforbrug!$6:$6</definedName>
    <definedName name="åendkul">'[1]Forbrug i alt (f)'!$8:$8</definedName>
    <definedName name="åendnga">'[1]Forbrug i alt (f)'!$7:$7</definedName>
    <definedName name="åendoil">'[1]Forbrug i alt (f)'!$6:$6</definedName>
    <definedName name="Annees" localSheetId="8">OFFSET(#REF!,0,0,1,COUNTA(#REF!))</definedName>
    <definedName name="Annees" localSheetId="9">OFFSET(#REF!,0,0,1,COUNTA(#REF!))</definedName>
    <definedName name="Annees" localSheetId="11">OFFSET(#REF!,0,0,1,COUNTA(#REF!))</definedName>
    <definedName name="Annees" localSheetId="10">OFFSET(#REF!,0,0,1,COUNTA(#REF!))</definedName>
    <definedName name="Annees">OFFSET(#REF!,0,0,1,COUNTA(#REF!))</definedName>
    <definedName name="b" localSheetId="8">#REF!</definedName>
    <definedName name="b" localSheetId="9">#REF!</definedName>
    <definedName name="b" localSheetId="11">#REF!</definedName>
    <definedName name="b" localSheetId="10">#REF!</definedName>
    <definedName name="b">#REF!</definedName>
    <definedName name="bgfbs" localSheetId="8">#REF!</definedName>
    <definedName name="bgfbs" localSheetId="9">#REF!</definedName>
    <definedName name="bgfbs" localSheetId="11">#REF!</definedName>
    <definedName name="bgfbs" localSheetId="10">#REF!</definedName>
    <definedName name="bgfbs">#REF!</definedName>
    <definedName name="Colheads" localSheetId="8">#REF!</definedName>
    <definedName name="Colheads" localSheetId="9">#REF!</definedName>
    <definedName name="Colheads" localSheetId="11">#REF!</definedName>
    <definedName name="Colheads" localSheetId="10">#REF!</definedName>
    <definedName name="Colheads">#REF!</definedName>
    <definedName name="Datamat" localSheetId="8">#REF!</definedName>
    <definedName name="Datamat" localSheetId="9">#REF!</definedName>
    <definedName name="Datamat" localSheetId="11">#REF!</definedName>
    <definedName name="Datamat" localSheetId="10">#REF!</definedName>
    <definedName name="Datamat">#REF!</definedName>
    <definedName name="EULFTIJY_FLY">[2]Rådata!$229:$229</definedName>
    <definedName name="ff" localSheetId="8">#REF!</definedName>
    <definedName name="ff" localSheetId="9">#REF!</definedName>
    <definedName name="ff" localSheetId="11">#REF!</definedName>
    <definedName name="ff" localSheetId="10">#REF!</definedName>
    <definedName name="ff">#REF!</definedName>
    <definedName name="Graph" localSheetId="8">OFFSET(#REF!,0,0,1,COUNTA(#REF!))</definedName>
    <definedName name="Graph" localSheetId="9">OFFSET(#REF!,0,0,1,COUNTA(#REF!))</definedName>
    <definedName name="Graph" localSheetId="11">OFFSET(#REF!,0,0,1,COUNTA(#REF!))</definedName>
    <definedName name="Graph" localSheetId="10">OFFSET(#REF!,0,0,1,COUNTA(#REF!))</definedName>
    <definedName name="Graph">OFFSET(#REF!,0,0,1,COUNTA(#REF!))</definedName>
    <definedName name="HOUSEHOLDS" localSheetId="8">#REF!</definedName>
    <definedName name="HOUSEHOLDS" localSheetId="9">#REF!</definedName>
    <definedName name="HOUSEHOLDS" localSheetId="11">#REF!</definedName>
    <definedName name="HOUSEHOLDS" localSheetId="10">#REF!</definedName>
    <definedName name="HOUSEHOLDS">#REF!</definedName>
    <definedName name="Indicators_transport" localSheetId="8">#REF!</definedName>
    <definedName name="Indicators_transport" localSheetId="9">#REF!</definedName>
    <definedName name="Indicators_transport" localSheetId="11">#REF!</definedName>
    <definedName name="Indicators_transport" localSheetId="10">#REF!</definedName>
    <definedName name="Indicators_transport">#REF!</definedName>
    <definedName name="INDUSTRY" localSheetId="8">#REF!</definedName>
    <definedName name="INDUSTRY" localSheetId="9">#REF!</definedName>
    <definedName name="INDUSTRY" localSheetId="11">#REF!</definedName>
    <definedName name="INDUSTRY" localSheetId="10">#REF!</definedName>
    <definedName name="INDUSTRY">#REF!</definedName>
    <definedName name="Inge">#REF!</definedName>
    <definedName name="KP" localSheetId="8">#REF!</definedName>
    <definedName name="KP" localSheetId="9">#REF!</definedName>
    <definedName name="KP" localSheetId="11">#REF!</definedName>
    <definedName name="KP" localSheetId="10">#REF!</definedName>
    <definedName name="KP">#REF!</definedName>
    <definedName name="Leontief138" localSheetId="8">#REF!</definedName>
    <definedName name="Leontief138" localSheetId="9">#REF!</definedName>
    <definedName name="Leontief138" localSheetId="11">#REF!</definedName>
    <definedName name="Leontief138" localSheetId="10">#REF!</definedName>
    <definedName name="Leontief138">#REF!</definedName>
    <definedName name="MACRO" localSheetId="8">#REF!</definedName>
    <definedName name="MACRO" localSheetId="9">#REF!</definedName>
    <definedName name="MACRO" localSheetId="11">#REF!</definedName>
    <definedName name="MACRO" localSheetId="10">#REF!</definedName>
    <definedName name="MACRO">#REF!</definedName>
    <definedName name="Matrix138" localSheetId="8">#REF!</definedName>
    <definedName name="Matrix138" localSheetId="9">#REF!</definedName>
    <definedName name="Matrix138" localSheetId="11">#REF!</definedName>
    <definedName name="Matrix138" localSheetId="10">#REF!</definedName>
    <definedName name="Matrix138">#REF!</definedName>
    <definedName name="NEW">#REF!</definedName>
    <definedName name="Rowtitles" localSheetId="8">#REF!</definedName>
    <definedName name="Rowtitles" localSheetId="9">#REF!</definedName>
    <definedName name="Rowtitles" localSheetId="11">#REF!</definedName>
    <definedName name="Rowtitles" localSheetId="10">#REF!</definedName>
    <definedName name="Rowtitles">#REF!</definedName>
    <definedName name="service">#REF!</definedName>
    <definedName name="SERVICES" localSheetId="8">#REF!</definedName>
    <definedName name="SERVICES" localSheetId="9">#REF!</definedName>
    <definedName name="SERVICES" localSheetId="11">#REF!</definedName>
    <definedName name="SERVICES" localSheetId="10">#REF!</definedName>
    <definedName name="SERVICES">#REF!</definedName>
    <definedName name="sheet" localSheetId="8">#REF!</definedName>
    <definedName name="sheet" localSheetId="9">#REF!</definedName>
    <definedName name="sheet" localSheetId="11">#REF!</definedName>
    <definedName name="sheet" localSheetId="10">#REF!</definedName>
    <definedName name="sheet">#REF!</definedName>
    <definedName name="Transport" localSheetId="8">#REF!</definedName>
    <definedName name="Transport" localSheetId="9">#REF!</definedName>
    <definedName name="Transport" localSheetId="11">#REF!</definedName>
    <definedName name="Transport" localSheetId="10">#REF!</definedName>
    <definedName name="Transport">#REF!</definedName>
    <definedName name="Transport2" localSheetId="8">#REF!</definedName>
    <definedName name="Transport2" localSheetId="9">#REF!</definedName>
    <definedName name="Transport2" localSheetId="11">#REF!</definedName>
    <definedName name="Transport2" localSheetId="10">#REF!</definedName>
    <definedName name="Transport2">#REF!</definedName>
    <definedName name="Transport3" localSheetId="8">#REF!</definedName>
    <definedName name="Transport3" localSheetId="9">#REF!</definedName>
    <definedName name="Transport3" localSheetId="11">#REF!</definedName>
    <definedName name="Transport3" localSheetId="10">#REF!</definedName>
    <definedName name="Transport3">#REF!</definedName>
    <definedName name="transports" localSheetId="8">#REF!</definedName>
    <definedName name="transports" localSheetId="9">#REF!</definedName>
    <definedName name="transports" localSheetId="11">#REF!</definedName>
    <definedName name="transports" localSheetId="10">#REF!</definedName>
    <definedName name="transports">#REF!</definedName>
    <definedName name="UPDATEYR" localSheetId="0">[3]Introduction!$C$9</definedName>
    <definedName name="UPDATEYR">[4]Introduction!$C$9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4" i="10" l="1"/>
  <c r="B74" i="10"/>
  <c r="AQ16" i="10"/>
  <c r="AP16" i="10"/>
  <c r="P16" i="10"/>
  <c r="O16" i="10"/>
  <c r="S21" i="10"/>
  <c r="T21" i="10" s="1"/>
  <c r="U21" i="10" s="1"/>
  <c r="V21" i="10" s="1"/>
  <c r="W21" i="10" s="1"/>
  <c r="X21" i="10" s="1"/>
  <c r="Y21" i="10" s="1"/>
  <c r="Z21" i="10" s="1"/>
  <c r="AA21" i="10" s="1"/>
  <c r="AB21" i="10" s="1"/>
  <c r="AC21" i="10" s="1"/>
  <c r="AD21" i="10" s="1"/>
  <c r="AE21" i="10" s="1"/>
  <c r="AF21" i="10" s="1"/>
  <c r="AG21" i="10" s="1"/>
  <c r="AH21" i="10" s="1"/>
  <c r="AI21" i="10" s="1"/>
  <c r="AJ21" i="10" s="1"/>
  <c r="AK21" i="10" s="1"/>
  <c r="AL21" i="10" s="1"/>
  <c r="AM21" i="10" s="1"/>
  <c r="AN21" i="10" s="1"/>
  <c r="AO21" i="10" s="1"/>
  <c r="AP21" i="10" s="1"/>
  <c r="AQ21" i="10" s="1"/>
  <c r="S20" i="10"/>
  <c r="T20" i="10" s="1"/>
  <c r="U20" i="10" s="1"/>
  <c r="V20" i="10" s="1"/>
  <c r="W20" i="10" s="1"/>
  <c r="X20" i="10" s="1"/>
  <c r="Y20" i="10" s="1"/>
  <c r="Z20" i="10" s="1"/>
  <c r="AA20" i="10" s="1"/>
  <c r="AB20" i="10" s="1"/>
  <c r="AC20" i="10" s="1"/>
  <c r="AD20" i="10" s="1"/>
  <c r="AE20" i="10" s="1"/>
  <c r="AF20" i="10" s="1"/>
  <c r="AG20" i="10" s="1"/>
  <c r="AH20" i="10" s="1"/>
  <c r="AI20" i="10" s="1"/>
  <c r="AJ20" i="10" s="1"/>
  <c r="AK20" i="10" s="1"/>
  <c r="AL20" i="10" s="1"/>
  <c r="AM20" i="10" s="1"/>
  <c r="AN20" i="10" s="1"/>
  <c r="AO20" i="10" s="1"/>
  <c r="AP20" i="10" s="1"/>
  <c r="AQ20" i="10" s="1"/>
  <c r="R20" i="10"/>
  <c r="S19" i="10"/>
  <c r="T19" i="10"/>
  <c r="U19" i="10"/>
  <c r="V19" i="10"/>
  <c r="W19" i="10"/>
  <c r="X19" i="10"/>
  <c r="Y19" i="10" s="1"/>
  <c r="Z19" i="10" s="1"/>
  <c r="AA19" i="10" s="1"/>
  <c r="AB19" i="10" s="1"/>
  <c r="AC19" i="10" s="1"/>
  <c r="AD19" i="10" s="1"/>
  <c r="AE19" i="10" s="1"/>
  <c r="AF19" i="10" s="1"/>
  <c r="AG19" i="10" s="1"/>
  <c r="AH19" i="10" s="1"/>
  <c r="AI19" i="10" s="1"/>
  <c r="AJ19" i="10" s="1"/>
  <c r="AK19" i="10" s="1"/>
  <c r="AL19" i="10" s="1"/>
  <c r="AM19" i="10" s="1"/>
  <c r="AN19" i="10" s="1"/>
  <c r="AO19" i="10" s="1"/>
  <c r="AP19" i="10" s="1"/>
  <c r="AQ19" i="10" s="1"/>
  <c r="R19" i="10"/>
  <c r="AC18" i="10"/>
  <c r="AA17" i="10"/>
  <c r="AB17" i="10"/>
  <c r="AC17" i="10"/>
  <c r="AD17" i="10" s="1"/>
  <c r="AE17" i="10" s="1"/>
  <c r="AF17" i="10" s="1"/>
  <c r="AG17" i="10" s="1"/>
  <c r="AH17" i="10" s="1"/>
  <c r="AI17" i="10" s="1"/>
  <c r="AJ17" i="10" s="1"/>
  <c r="AK17" i="10" s="1"/>
  <c r="AL17" i="10" s="1"/>
  <c r="AM17" i="10" s="1"/>
  <c r="AN17" i="10" s="1"/>
  <c r="AO17" i="10" s="1"/>
  <c r="AP17" i="10" s="1"/>
  <c r="AQ17" i="10" s="1"/>
  <c r="X17" i="10"/>
  <c r="Y17" i="10"/>
  <c r="Z17" i="10"/>
  <c r="R17" i="10"/>
  <c r="S17" i="10"/>
  <c r="T17" i="10"/>
  <c r="U17" i="10"/>
  <c r="V17" i="10" s="1"/>
  <c r="W17" i="10" s="1"/>
  <c r="N13" i="10"/>
  <c r="M13" i="10"/>
  <c r="Q21" i="10"/>
  <c r="Q16" i="10" l="1"/>
  <c r="R10" i="10"/>
  <c r="M11" i="10"/>
  <c r="AK78" i="10"/>
  <c r="O81" i="10"/>
  <c r="Q66" i="10"/>
  <c r="P66" i="10"/>
  <c r="O66" i="10"/>
  <c r="O78" i="10"/>
  <c r="O77" i="10"/>
  <c r="AL9" i="10"/>
  <c r="H51" i="10"/>
  <c r="W8" i="10"/>
  <c r="N16" i="10"/>
  <c r="M16" i="10"/>
  <c r="O10" i="10"/>
  <c r="V140" i="10"/>
  <c r="V144" i="10"/>
  <c r="C138" i="10"/>
  <c r="C131" i="10"/>
  <c r="R16" i="10" l="1"/>
  <c r="R6" i="10" s="1"/>
  <c r="O312" i="11"/>
  <c r="P312" i="11"/>
  <c r="P262" i="11"/>
  <c r="D298" i="11"/>
  <c r="D297" i="11"/>
  <c r="D296" i="11"/>
  <c r="D295" i="11"/>
  <c r="D294" i="11"/>
  <c r="P170" i="11"/>
  <c r="P311" i="11"/>
  <c r="O311" i="11"/>
  <c r="C192" i="10"/>
  <c r="D192" i="10" s="1"/>
  <c r="E192" i="10" s="1"/>
  <c r="F192" i="10" s="1"/>
  <c r="G192" i="10" s="1"/>
  <c r="H192" i="10" s="1"/>
  <c r="I192" i="10" s="1"/>
  <c r="S16" i="10" l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AK16" i="10" s="1"/>
  <c r="AL16" i="10" s="1"/>
  <c r="AM16" i="10" s="1"/>
  <c r="AN16" i="10" s="1"/>
  <c r="AO16" i="10" s="1"/>
  <c r="E311" i="11"/>
  <c r="F311" i="11"/>
  <c r="G311" i="11"/>
  <c r="H311" i="11"/>
  <c r="I311" i="11"/>
  <c r="J311" i="11"/>
  <c r="K311" i="11"/>
  <c r="L311" i="11"/>
  <c r="M311" i="11"/>
  <c r="N311" i="11"/>
  <c r="E312" i="11"/>
  <c r="F312" i="11"/>
  <c r="G312" i="11"/>
  <c r="H312" i="11"/>
  <c r="I312" i="11"/>
  <c r="J312" i="11"/>
  <c r="K312" i="11"/>
  <c r="L312" i="11"/>
  <c r="M312" i="11"/>
  <c r="M313" i="11" s="1"/>
  <c r="M314" i="11" s="1"/>
  <c r="N312" i="11"/>
  <c r="N313" i="11" s="1"/>
  <c r="D312" i="11"/>
  <c r="D311" i="11"/>
  <c r="C188" i="10"/>
  <c r="W152" i="10"/>
  <c r="X152" i="10"/>
  <c r="Y152" i="10"/>
  <c r="Z152" i="10"/>
  <c r="AA152" i="10"/>
  <c r="AB152" i="10"/>
  <c r="AC152" i="10"/>
  <c r="AD152" i="10"/>
  <c r="AE152" i="10"/>
  <c r="AF152" i="10"/>
  <c r="V152" i="10"/>
  <c r="W151" i="10"/>
  <c r="X151" i="10"/>
  <c r="Y151" i="10"/>
  <c r="Z151" i="10"/>
  <c r="AA151" i="10"/>
  <c r="AB151" i="10"/>
  <c r="AC151" i="10"/>
  <c r="AD151" i="10"/>
  <c r="AE151" i="10"/>
  <c r="AF151" i="10"/>
  <c r="V151" i="10"/>
  <c r="W150" i="10"/>
  <c r="X150" i="10"/>
  <c r="Y150" i="10"/>
  <c r="Z150" i="10"/>
  <c r="AA150" i="10"/>
  <c r="AB150" i="10"/>
  <c r="AC150" i="10"/>
  <c r="AD150" i="10"/>
  <c r="AE150" i="10"/>
  <c r="AF150" i="10"/>
  <c r="V150" i="10"/>
  <c r="AD144" i="10"/>
  <c r="AC144" i="10"/>
  <c r="AB144" i="10"/>
  <c r="AA144" i="10"/>
  <c r="Z144" i="10"/>
  <c r="Y144" i="10"/>
  <c r="X144" i="10"/>
  <c r="W144" i="10"/>
  <c r="AD142" i="10"/>
  <c r="AC142" i="10"/>
  <c r="AB142" i="10"/>
  <c r="AA142" i="10"/>
  <c r="Z142" i="10"/>
  <c r="Y142" i="10"/>
  <c r="X142" i="10"/>
  <c r="W142" i="10"/>
  <c r="V142" i="10"/>
  <c r="W140" i="10"/>
  <c r="X140" i="10"/>
  <c r="Y140" i="10"/>
  <c r="Z140" i="10"/>
  <c r="AA140" i="10"/>
  <c r="AB140" i="10"/>
  <c r="AC140" i="10"/>
  <c r="AD140" i="10"/>
  <c r="H185" i="10"/>
  <c r="G185" i="10"/>
  <c r="F185" i="10"/>
  <c r="E185" i="10"/>
  <c r="D185" i="10"/>
  <c r="D184" i="10"/>
  <c r="E184" i="10"/>
  <c r="F184" i="10"/>
  <c r="G184" i="10"/>
  <c r="H184" i="10"/>
  <c r="I184" i="10"/>
  <c r="O252" i="11"/>
  <c r="M200" i="13"/>
  <c r="F70" i="10"/>
  <c r="M210" i="18"/>
  <c r="AF18" i="10"/>
  <c r="AG18" i="10"/>
  <c r="AM18" i="10"/>
  <c r="AN18" i="10"/>
  <c r="AO18" i="10"/>
  <c r="AP18" i="10"/>
  <c r="AQ18" i="10"/>
  <c r="D10" i="10"/>
  <c r="E10" i="10"/>
  <c r="F10" i="10"/>
  <c r="G10" i="10"/>
  <c r="H10" i="10"/>
  <c r="I10" i="10"/>
  <c r="J10" i="10"/>
  <c r="K10" i="10"/>
  <c r="L10" i="10"/>
  <c r="M10" i="10"/>
  <c r="N10" i="10"/>
  <c r="D11" i="10"/>
  <c r="E11" i="10"/>
  <c r="F11" i="10"/>
  <c r="G11" i="10"/>
  <c r="H11" i="10"/>
  <c r="I11" i="10"/>
  <c r="J11" i="10"/>
  <c r="K11" i="10"/>
  <c r="L11" i="10"/>
  <c r="N11" i="10"/>
  <c r="D12" i="10"/>
  <c r="D22" i="10" s="1"/>
  <c r="E12" i="10"/>
  <c r="E22" i="10" s="1"/>
  <c r="F12" i="10"/>
  <c r="F22" i="10" s="1"/>
  <c r="G12" i="10"/>
  <c r="G22" i="10" s="1"/>
  <c r="H12" i="10"/>
  <c r="H22" i="10" s="1"/>
  <c r="I12" i="10"/>
  <c r="I22" i="10" s="1"/>
  <c r="J12" i="10"/>
  <c r="J22" i="10" s="1"/>
  <c r="K12" i="10"/>
  <c r="K22" i="10" s="1"/>
  <c r="L12" i="10"/>
  <c r="L22" i="10" s="1"/>
  <c r="M12" i="10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AD12" i="10" s="1"/>
  <c r="AE12" i="10" s="1"/>
  <c r="AF12" i="10" s="1"/>
  <c r="AG12" i="10" s="1"/>
  <c r="AH12" i="10" s="1"/>
  <c r="AI12" i="10" s="1"/>
  <c r="AJ12" i="10" s="1"/>
  <c r="AK12" i="10" s="1"/>
  <c r="AL12" i="10" s="1"/>
  <c r="AM12" i="10" s="1"/>
  <c r="AN12" i="10" s="1"/>
  <c r="AO12" i="10" s="1"/>
  <c r="AP12" i="10" s="1"/>
  <c r="AQ12" i="10" s="1"/>
  <c r="N12" i="10"/>
  <c r="C12" i="10"/>
  <c r="C22" i="10" s="1"/>
  <c r="C11" i="10"/>
  <c r="C10" i="10"/>
  <c r="D9" i="10"/>
  <c r="E9" i="10"/>
  <c r="F9" i="10"/>
  <c r="G9" i="10"/>
  <c r="H9" i="10"/>
  <c r="I9" i="10"/>
  <c r="J9" i="10"/>
  <c r="K9" i="10"/>
  <c r="L9" i="10"/>
  <c r="M9" i="10"/>
  <c r="N9" i="10"/>
  <c r="C9" i="10"/>
  <c r="D8" i="10"/>
  <c r="E8" i="10"/>
  <c r="F8" i="10"/>
  <c r="G8" i="10"/>
  <c r="H8" i="10"/>
  <c r="I8" i="10"/>
  <c r="J8" i="10"/>
  <c r="K8" i="10"/>
  <c r="L8" i="10"/>
  <c r="M8" i="10"/>
  <c r="N8" i="10"/>
  <c r="C8" i="10"/>
  <c r="D7" i="10"/>
  <c r="E7" i="10"/>
  <c r="F7" i="10"/>
  <c r="G7" i="10"/>
  <c r="H7" i="10"/>
  <c r="I7" i="10"/>
  <c r="J7" i="10"/>
  <c r="K7" i="10"/>
  <c r="L7" i="10"/>
  <c r="M7" i="10"/>
  <c r="N7" i="10"/>
  <c r="C7" i="10"/>
  <c r="D6" i="10"/>
  <c r="E6" i="10"/>
  <c r="F6" i="10"/>
  <c r="G6" i="10"/>
  <c r="H6" i="10"/>
  <c r="I6" i="10"/>
  <c r="J6" i="10"/>
  <c r="K6" i="10"/>
  <c r="L6" i="10"/>
  <c r="M6" i="10"/>
  <c r="C48" i="10" s="1"/>
  <c r="N6" i="10"/>
  <c r="C6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N70" i="10"/>
  <c r="M70" i="10"/>
  <c r="L70" i="10"/>
  <c r="K70" i="10"/>
  <c r="J70" i="10"/>
  <c r="I70" i="10"/>
  <c r="H70" i="10"/>
  <c r="G70" i="10"/>
  <c r="E70" i="10"/>
  <c r="D70" i="10"/>
  <c r="C70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I185" i="10" l="1"/>
  <c r="K16" i="10"/>
  <c r="C16" i="10"/>
  <c r="D16" i="10"/>
  <c r="C20" i="10"/>
  <c r="G16" i="10"/>
  <c r="F313" i="11"/>
  <c r="F314" i="11" s="1"/>
  <c r="G313" i="11"/>
  <c r="G314" i="11" s="1"/>
  <c r="J313" i="11"/>
  <c r="N314" i="11"/>
  <c r="L313" i="11"/>
  <c r="L314" i="11" s="1"/>
  <c r="D313" i="11"/>
  <c r="D314" i="11" s="1"/>
  <c r="I313" i="11"/>
  <c r="I314" i="11" s="1"/>
  <c r="H313" i="11"/>
  <c r="H314" i="11" s="1"/>
  <c r="K313" i="11"/>
  <c r="K314" i="11" s="1"/>
  <c r="E313" i="11"/>
  <c r="E314" i="11" s="1"/>
  <c r="J314" i="11"/>
  <c r="D188" i="10"/>
  <c r="J16" i="10"/>
  <c r="C21" i="10"/>
  <c r="C185" i="10"/>
  <c r="G17" i="10"/>
  <c r="I16" i="10"/>
  <c r="H16" i="10"/>
  <c r="F17" i="10"/>
  <c r="D17" i="10"/>
  <c r="E17" i="10"/>
  <c r="F16" i="10"/>
  <c r="E16" i="10"/>
  <c r="G19" i="10"/>
  <c r="D19" i="10"/>
  <c r="K17" i="10"/>
  <c r="G18" i="10"/>
  <c r="J17" i="10"/>
  <c r="F18" i="10"/>
  <c r="I17" i="10"/>
  <c r="E18" i="10"/>
  <c r="L16" i="10"/>
  <c r="H17" i="10"/>
  <c r="D18" i="10"/>
  <c r="C184" i="10"/>
  <c r="N19" i="10"/>
  <c r="O19" i="10" s="1"/>
  <c r="P19" i="10" s="1"/>
  <c r="C19" i="10"/>
  <c r="L19" i="10"/>
  <c r="C18" i="10"/>
  <c r="K19" i="10"/>
  <c r="N18" i="10"/>
  <c r="J19" i="10"/>
  <c r="I19" i="10"/>
  <c r="L18" i="10"/>
  <c r="H19" i="10"/>
  <c r="C17" i="10"/>
  <c r="K18" i="10"/>
  <c r="N17" i="10"/>
  <c r="O17" i="10" s="1"/>
  <c r="P17" i="10" s="1"/>
  <c r="J18" i="10"/>
  <c r="F19" i="10"/>
  <c r="I18" i="10"/>
  <c r="E19" i="10"/>
  <c r="L17" i="10"/>
  <c r="H18" i="10"/>
  <c r="C49" i="10"/>
  <c r="M17" i="10"/>
  <c r="C50" i="10"/>
  <c r="M18" i="10"/>
  <c r="C51" i="10"/>
  <c r="M19" i="10"/>
  <c r="N22" i="10"/>
  <c r="M22" i="10"/>
  <c r="N21" i="10"/>
  <c r="O21" i="10" s="1"/>
  <c r="C53" i="10"/>
  <c r="M21" i="10"/>
  <c r="L21" i="10"/>
  <c r="K21" i="10"/>
  <c r="J21" i="10"/>
  <c r="I21" i="10"/>
  <c r="H21" i="10"/>
  <c r="G21" i="10"/>
  <c r="F21" i="10"/>
  <c r="E21" i="10"/>
  <c r="D21" i="10"/>
  <c r="N20" i="10"/>
  <c r="O20" i="10" s="1"/>
  <c r="C52" i="10"/>
  <c r="M20" i="10"/>
  <c r="L20" i="10"/>
  <c r="K20" i="10"/>
  <c r="J20" i="10"/>
  <c r="I20" i="10"/>
  <c r="H20" i="10"/>
  <c r="G20" i="10"/>
  <c r="F20" i="10"/>
  <c r="E20" i="10"/>
  <c r="D20" i="10"/>
  <c r="C89" i="10"/>
  <c r="C73" i="10"/>
  <c r="C77" i="10" s="1"/>
  <c r="D73" i="10"/>
  <c r="D85" i="10" s="1"/>
  <c r="E73" i="10"/>
  <c r="E78" i="10" s="1"/>
  <c r="F73" i="10"/>
  <c r="F82" i="10" s="1"/>
  <c r="G73" i="10"/>
  <c r="G79" i="10" s="1"/>
  <c r="D89" i="10"/>
  <c r="H73" i="10"/>
  <c r="H84" i="10" s="1"/>
  <c r="I73" i="10"/>
  <c r="I83" i="10" s="1"/>
  <c r="J73" i="10"/>
  <c r="J79" i="10" s="1"/>
  <c r="K73" i="10"/>
  <c r="K79" i="10" s="1"/>
  <c r="L73" i="10"/>
  <c r="L84" i="10" s="1"/>
  <c r="E89" i="10"/>
  <c r="M73" i="10"/>
  <c r="M77" i="10" s="1"/>
  <c r="N73" i="10"/>
  <c r="N77" i="10" s="1"/>
  <c r="C90" i="10"/>
  <c r="D90" i="10"/>
  <c r="E90" i="10"/>
  <c r="C91" i="10"/>
  <c r="D91" i="10"/>
  <c r="E91" i="10"/>
  <c r="C92" i="10"/>
  <c r="D92" i="10"/>
  <c r="E92" i="10"/>
  <c r="C93" i="10"/>
  <c r="D93" i="10"/>
  <c r="E93" i="10"/>
  <c r="C94" i="10"/>
  <c r="D94" i="10"/>
  <c r="E94" i="10"/>
  <c r="C95" i="10"/>
  <c r="D95" i="10"/>
  <c r="E95" i="10"/>
  <c r="C96" i="10"/>
  <c r="D96" i="10"/>
  <c r="E96" i="10"/>
  <c r="C97" i="10"/>
  <c r="D97" i="10"/>
  <c r="E97" i="10"/>
  <c r="D368" i="18"/>
  <c r="E368" i="18"/>
  <c r="F368" i="18"/>
  <c r="G368" i="18"/>
  <c r="H368" i="18"/>
  <c r="I368" i="18"/>
  <c r="J368" i="18"/>
  <c r="K368" i="18"/>
  <c r="L368" i="18"/>
  <c r="M368" i="18"/>
  <c r="N368" i="18"/>
  <c r="C368" i="18"/>
  <c r="D476" i="16"/>
  <c r="E476" i="16"/>
  <c r="F476" i="16"/>
  <c r="G476" i="16"/>
  <c r="H476" i="16"/>
  <c r="I476" i="16"/>
  <c r="J476" i="16"/>
  <c r="K476" i="16"/>
  <c r="L476" i="16"/>
  <c r="M476" i="16"/>
  <c r="N476" i="16"/>
  <c r="C476" i="16"/>
  <c r="D474" i="16"/>
  <c r="E474" i="16"/>
  <c r="F474" i="16"/>
  <c r="G474" i="16"/>
  <c r="H474" i="16"/>
  <c r="I474" i="16"/>
  <c r="J474" i="16"/>
  <c r="K474" i="16"/>
  <c r="L474" i="16"/>
  <c r="M474" i="16"/>
  <c r="N474" i="16"/>
  <c r="C474" i="16"/>
  <c r="D473" i="16"/>
  <c r="E473" i="16"/>
  <c r="F473" i="16"/>
  <c r="G473" i="16"/>
  <c r="H473" i="16"/>
  <c r="I473" i="16"/>
  <c r="J473" i="16"/>
  <c r="K473" i="16"/>
  <c r="L473" i="16"/>
  <c r="M473" i="16"/>
  <c r="N473" i="16"/>
  <c r="C473" i="16"/>
  <c r="D472" i="16"/>
  <c r="E472" i="16"/>
  <c r="F472" i="16"/>
  <c r="G472" i="16"/>
  <c r="H472" i="16"/>
  <c r="I472" i="16"/>
  <c r="J472" i="16"/>
  <c r="K472" i="16"/>
  <c r="L472" i="16"/>
  <c r="M472" i="16"/>
  <c r="N472" i="16"/>
  <c r="C472" i="16"/>
  <c r="D471" i="16"/>
  <c r="E471" i="16"/>
  <c r="F471" i="16"/>
  <c r="G471" i="16"/>
  <c r="H471" i="16"/>
  <c r="I471" i="16"/>
  <c r="J471" i="16"/>
  <c r="K471" i="16"/>
  <c r="L471" i="16"/>
  <c r="M471" i="16"/>
  <c r="N471" i="16"/>
  <c r="C471" i="16"/>
  <c r="D470" i="16"/>
  <c r="E470" i="16"/>
  <c r="F470" i="16"/>
  <c r="G470" i="16"/>
  <c r="H470" i="16"/>
  <c r="I470" i="16"/>
  <c r="J470" i="16"/>
  <c r="K470" i="16"/>
  <c r="L470" i="16"/>
  <c r="M470" i="16"/>
  <c r="N470" i="16"/>
  <c r="C470" i="16"/>
  <c r="D469" i="16"/>
  <c r="E469" i="16"/>
  <c r="F469" i="16"/>
  <c r="G469" i="16"/>
  <c r="H469" i="16"/>
  <c r="I469" i="16"/>
  <c r="J469" i="16"/>
  <c r="K469" i="16"/>
  <c r="L469" i="16"/>
  <c r="M469" i="16"/>
  <c r="N469" i="16"/>
  <c r="C469" i="16"/>
  <c r="D468" i="16"/>
  <c r="E468" i="16"/>
  <c r="F468" i="16"/>
  <c r="G468" i="16"/>
  <c r="H468" i="16"/>
  <c r="I468" i="16"/>
  <c r="J468" i="16"/>
  <c r="K468" i="16"/>
  <c r="L468" i="16"/>
  <c r="M468" i="16"/>
  <c r="N468" i="16"/>
  <c r="C468" i="16"/>
  <c r="D467" i="16"/>
  <c r="E467" i="16"/>
  <c r="F467" i="16"/>
  <c r="G467" i="16"/>
  <c r="H467" i="16"/>
  <c r="I467" i="16"/>
  <c r="J467" i="16"/>
  <c r="K467" i="16"/>
  <c r="L467" i="16"/>
  <c r="M467" i="16"/>
  <c r="N467" i="16"/>
  <c r="C467" i="16"/>
  <c r="D466" i="16"/>
  <c r="E466" i="16"/>
  <c r="F466" i="16"/>
  <c r="G466" i="16"/>
  <c r="H466" i="16"/>
  <c r="I466" i="16"/>
  <c r="J466" i="16"/>
  <c r="K466" i="16"/>
  <c r="L466" i="16"/>
  <c r="M466" i="16"/>
  <c r="N466" i="16"/>
  <c r="C466" i="16"/>
  <c r="D465" i="16"/>
  <c r="E465" i="16"/>
  <c r="F465" i="16"/>
  <c r="G465" i="16"/>
  <c r="H465" i="16"/>
  <c r="I465" i="16"/>
  <c r="J465" i="16"/>
  <c r="K465" i="16"/>
  <c r="L465" i="16"/>
  <c r="M465" i="16"/>
  <c r="N465" i="16"/>
  <c r="C465" i="16"/>
  <c r="D464" i="16"/>
  <c r="E464" i="16"/>
  <c r="F464" i="16"/>
  <c r="G464" i="16"/>
  <c r="H464" i="16"/>
  <c r="I464" i="16"/>
  <c r="J464" i="16"/>
  <c r="K464" i="16"/>
  <c r="L464" i="16"/>
  <c r="M464" i="16"/>
  <c r="N464" i="16"/>
  <c r="C464" i="16"/>
  <c r="D463" i="16"/>
  <c r="E463" i="16"/>
  <c r="F463" i="16"/>
  <c r="G463" i="16"/>
  <c r="H463" i="16"/>
  <c r="I463" i="16"/>
  <c r="J463" i="16"/>
  <c r="K463" i="16"/>
  <c r="L463" i="16"/>
  <c r="M463" i="16"/>
  <c r="N463" i="16"/>
  <c r="C463" i="16"/>
  <c r="D462" i="16"/>
  <c r="E462" i="16"/>
  <c r="F462" i="16"/>
  <c r="G462" i="16"/>
  <c r="H462" i="16"/>
  <c r="I462" i="16"/>
  <c r="J462" i="16"/>
  <c r="K462" i="16"/>
  <c r="L462" i="16"/>
  <c r="M462" i="16"/>
  <c r="N462" i="16"/>
  <c r="C462" i="16"/>
  <c r="E461" i="16"/>
  <c r="F461" i="16"/>
  <c r="G461" i="16"/>
  <c r="H461" i="16"/>
  <c r="I461" i="16"/>
  <c r="J461" i="16"/>
  <c r="K461" i="16"/>
  <c r="L461" i="16"/>
  <c r="M461" i="16"/>
  <c r="N461" i="16"/>
  <c r="D461" i="16"/>
  <c r="C461" i="16"/>
  <c r="D456" i="16"/>
  <c r="E456" i="16"/>
  <c r="F456" i="16"/>
  <c r="G456" i="16"/>
  <c r="H456" i="16"/>
  <c r="I456" i="16"/>
  <c r="J456" i="16"/>
  <c r="K456" i="16"/>
  <c r="L456" i="16"/>
  <c r="M456" i="16"/>
  <c r="N456" i="16"/>
  <c r="C456" i="16"/>
  <c r="N83" i="23"/>
  <c r="M83" i="23"/>
  <c r="L83" i="23"/>
  <c r="K83" i="23"/>
  <c r="J83" i="23"/>
  <c r="I83" i="23"/>
  <c r="H83" i="23"/>
  <c r="G83" i="23"/>
  <c r="F83" i="23"/>
  <c r="E83" i="23"/>
  <c r="D83" i="23"/>
  <c r="C83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N76" i="23"/>
  <c r="N84" i="23" s="1"/>
  <c r="M76" i="23"/>
  <c r="M84" i="23" s="1"/>
  <c r="L76" i="23"/>
  <c r="L84" i="23" s="1"/>
  <c r="K76" i="23"/>
  <c r="K84" i="23" s="1"/>
  <c r="J76" i="23"/>
  <c r="J84" i="23" s="1"/>
  <c r="I76" i="23"/>
  <c r="I84" i="23" s="1"/>
  <c r="H76" i="23"/>
  <c r="H84" i="23" s="1"/>
  <c r="G76" i="23"/>
  <c r="G84" i="23" s="1"/>
  <c r="F76" i="23"/>
  <c r="F84" i="23" s="1"/>
  <c r="E76" i="23"/>
  <c r="E82" i="23" s="1"/>
  <c r="D76" i="23"/>
  <c r="D84" i="23" s="1"/>
  <c r="C76" i="23"/>
  <c r="C84" i="23" s="1"/>
  <c r="N74" i="23"/>
  <c r="N85" i="23" s="1"/>
  <c r="M74" i="23"/>
  <c r="M85" i="23" s="1"/>
  <c r="L74" i="23"/>
  <c r="L85" i="23" s="1"/>
  <c r="K74" i="23"/>
  <c r="K85" i="23" s="1"/>
  <c r="J74" i="23"/>
  <c r="J85" i="23" s="1"/>
  <c r="I74" i="23"/>
  <c r="I85" i="23" s="1"/>
  <c r="H74" i="23"/>
  <c r="H85" i="23" s="1"/>
  <c r="G74" i="23"/>
  <c r="G85" i="23" s="1"/>
  <c r="F74" i="23"/>
  <c r="F85" i="23" s="1"/>
  <c r="E74" i="23"/>
  <c r="E85" i="23" s="1"/>
  <c r="D74" i="23"/>
  <c r="D85" i="23" s="1"/>
  <c r="C74" i="23"/>
  <c r="C85" i="23" s="1"/>
  <c r="N73" i="23"/>
  <c r="M73" i="23"/>
  <c r="L73" i="23"/>
  <c r="K73" i="23"/>
  <c r="J73" i="23"/>
  <c r="I73" i="23"/>
  <c r="H73" i="23"/>
  <c r="G73" i="23"/>
  <c r="F73" i="23"/>
  <c r="E73" i="23"/>
  <c r="D73" i="23"/>
  <c r="C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K82" i="10" l="1"/>
  <c r="E188" i="10"/>
  <c r="I85" i="10"/>
  <c r="J80" i="10"/>
  <c r="H85" i="10"/>
  <c r="I80" i="10"/>
  <c r="J84" i="10"/>
  <c r="H79" i="10"/>
  <c r="I82" i="10"/>
  <c r="I84" i="10"/>
  <c r="K81" i="10"/>
  <c r="J81" i="10"/>
  <c r="J82" i="10"/>
  <c r="I81" i="10"/>
  <c r="I78" i="10"/>
  <c r="K83" i="10"/>
  <c r="H81" i="10"/>
  <c r="H78" i="10"/>
  <c r="I79" i="10"/>
  <c r="J83" i="10"/>
  <c r="L85" i="10"/>
  <c r="K85" i="10"/>
  <c r="H83" i="10"/>
  <c r="K84" i="10"/>
  <c r="J85" i="10"/>
  <c r="K80" i="10"/>
  <c r="G81" i="10"/>
  <c r="G83" i="10"/>
  <c r="G85" i="10"/>
  <c r="H80" i="10"/>
  <c r="H82" i="10"/>
  <c r="G84" i="10"/>
  <c r="G78" i="10"/>
  <c r="G80" i="10"/>
  <c r="M79" i="10"/>
  <c r="G82" i="10"/>
  <c r="F80" i="10"/>
  <c r="C78" i="10"/>
  <c r="F78" i="10"/>
  <c r="F85" i="10"/>
  <c r="F83" i="10"/>
  <c r="F81" i="10"/>
  <c r="F84" i="10"/>
  <c r="F79" i="10"/>
  <c r="E79" i="10"/>
  <c r="D78" i="10"/>
  <c r="E80" i="10"/>
  <c r="D79" i="10"/>
  <c r="E81" i="10"/>
  <c r="D80" i="10"/>
  <c r="C79" i="10"/>
  <c r="E82" i="10"/>
  <c r="D81" i="10"/>
  <c r="C80" i="10"/>
  <c r="E83" i="10"/>
  <c r="D82" i="10"/>
  <c r="C81" i="10"/>
  <c r="N78" i="10"/>
  <c r="P78" i="10" s="1"/>
  <c r="Q78" i="10" s="1"/>
  <c r="R78" i="10" s="1"/>
  <c r="S78" i="10" s="1"/>
  <c r="T78" i="10" s="1"/>
  <c r="U78" i="10" s="1"/>
  <c r="V78" i="10" s="1"/>
  <c r="W78" i="10" s="1"/>
  <c r="X78" i="10" s="1"/>
  <c r="Y78" i="10" s="1"/>
  <c r="Z78" i="10" s="1"/>
  <c r="AA78" i="10" s="1"/>
  <c r="AB78" i="10" s="1"/>
  <c r="AC78" i="10" s="1"/>
  <c r="AD78" i="10" s="1"/>
  <c r="AE78" i="10" s="1"/>
  <c r="AF78" i="10" s="1"/>
  <c r="AG78" i="10" s="1"/>
  <c r="AH78" i="10" s="1"/>
  <c r="AI78" i="10" s="1"/>
  <c r="AJ78" i="10" s="1"/>
  <c r="AL78" i="10" s="1"/>
  <c r="AM78" i="10" s="1"/>
  <c r="AN78" i="10" s="1"/>
  <c r="AO78" i="10" s="1"/>
  <c r="AP78" i="10" s="1"/>
  <c r="AQ78" i="10" s="1"/>
  <c r="E84" i="10"/>
  <c r="D83" i="10"/>
  <c r="C82" i="10"/>
  <c r="N79" i="10"/>
  <c r="O79" i="10" s="1"/>
  <c r="P79" i="10" s="1"/>
  <c r="Q79" i="10" s="1"/>
  <c r="R79" i="10" s="1"/>
  <c r="S79" i="10" s="1"/>
  <c r="T79" i="10" s="1"/>
  <c r="U79" i="10" s="1"/>
  <c r="V79" i="10" s="1"/>
  <c r="W79" i="10" s="1"/>
  <c r="X79" i="10" s="1"/>
  <c r="Y79" i="10" s="1"/>
  <c r="Z79" i="10" s="1"/>
  <c r="AA79" i="10" s="1"/>
  <c r="AB79" i="10" s="1"/>
  <c r="AC79" i="10" s="1"/>
  <c r="AD79" i="10" s="1"/>
  <c r="AE79" i="10" s="1"/>
  <c r="AF79" i="10" s="1"/>
  <c r="AG79" i="10" s="1"/>
  <c r="AH79" i="10" s="1"/>
  <c r="AI79" i="10" s="1"/>
  <c r="AJ79" i="10" s="1"/>
  <c r="AK79" i="10" s="1"/>
  <c r="AL79" i="10" s="1"/>
  <c r="AM79" i="10" s="1"/>
  <c r="AN79" i="10" s="1"/>
  <c r="AO79" i="10" s="1"/>
  <c r="AP79" i="10" s="1"/>
  <c r="AQ79" i="10" s="1"/>
  <c r="M78" i="10"/>
  <c r="E85" i="10"/>
  <c r="D84" i="10"/>
  <c r="C83" i="10"/>
  <c r="N80" i="10"/>
  <c r="O80" i="10" s="1"/>
  <c r="P80" i="10" s="1"/>
  <c r="Q80" i="10" s="1"/>
  <c r="R80" i="10" s="1"/>
  <c r="S80" i="10" s="1"/>
  <c r="T80" i="10" s="1"/>
  <c r="U80" i="10" s="1"/>
  <c r="V80" i="10" s="1"/>
  <c r="W80" i="10" s="1"/>
  <c r="X80" i="10" s="1"/>
  <c r="Y80" i="10" s="1"/>
  <c r="Z80" i="10" s="1"/>
  <c r="AA80" i="10" s="1"/>
  <c r="AB80" i="10" s="1"/>
  <c r="AC80" i="10" s="1"/>
  <c r="AD80" i="10" s="1"/>
  <c r="AE80" i="10" s="1"/>
  <c r="AF80" i="10" s="1"/>
  <c r="AG80" i="10" s="1"/>
  <c r="AH80" i="10" s="1"/>
  <c r="AI80" i="10" s="1"/>
  <c r="AJ80" i="10" s="1"/>
  <c r="AK80" i="10" s="1"/>
  <c r="AL80" i="10" s="1"/>
  <c r="AM80" i="10" s="1"/>
  <c r="AN80" i="10" s="1"/>
  <c r="AO80" i="10" s="1"/>
  <c r="AP80" i="10" s="1"/>
  <c r="AQ80" i="10" s="1"/>
  <c r="C84" i="10"/>
  <c r="N81" i="10"/>
  <c r="P81" i="10" s="1"/>
  <c r="Q81" i="10" s="1"/>
  <c r="R81" i="10" s="1"/>
  <c r="S81" i="10" s="1"/>
  <c r="T81" i="10" s="1"/>
  <c r="U81" i="10" s="1"/>
  <c r="V81" i="10" s="1"/>
  <c r="W81" i="10" s="1"/>
  <c r="X81" i="10" s="1"/>
  <c r="Y81" i="10" s="1"/>
  <c r="Z81" i="10" s="1"/>
  <c r="AA81" i="10" s="1"/>
  <c r="AB81" i="10" s="1"/>
  <c r="AC81" i="10" s="1"/>
  <c r="AD81" i="10" s="1"/>
  <c r="AE81" i="10" s="1"/>
  <c r="AF81" i="10" s="1"/>
  <c r="AG81" i="10" s="1"/>
  <c r="AH81" i="10" s="1"/>
  <c r="AI81" i="10" s="1"/>
  <c r="AJ81" i="10" s="1"/>
  <c r="AK81" i="10" s="1"/>
  <c r="AL81" i="10" s="1"/>
  <c r="AM81" i="10" s="1"/>
  <c r="AN81" i="10" s="1"/>
  <c r="AO81" i="10" s="1"/>
  <c r="AP81" i="10" s="1"/>
  <c r="AQ81" i="10" s="1"/>
  <c r="M80" i="10"/>
  <c r="L78" i="10"/>
  <c r="C85" i="10"/>
  <c r="N82" i="10"/>
  <c r="O82" i="10" s="1"/>
  <c r="P82" i="10" s="1"/>
  <c r="Q82" i="10" s="1"/>
  <c r="R82" i="10" s="1"/>
  <c r="S82" i="10" s="1"/>
  <c r="T82" i="10" s="1"/>
  <c r="U82" i="10" s="1"/>
  <c r="V82" i="10" s="1"/>
  <c r="W82" i="10" s="1"/>
  <c r="X82" i="10" s="1"/>
  <c r="Y82" i="10" s="1"/>
  <c r="Z82" i="10" s="1"/>
  <c r="AA82" i="10" s="1"/>
  <c r="AB82" i="10" s="1"/>
  <c r="AC82" i="10" s="1"/>
  <c r="AD82" i="10" s="1"/>
  <c r="AE82" i="10" s="1"/>
  <c r="AF82" i="10" s="1"/>
  <c r="AG82" i="10" s="1"/>
  <c r="AH82" i="10" s="1"/>
  <c r="AI82" i="10" s="1"/>
  <c r="AJ82" i="10" s="1"/>
  <c r="AK82" i="10" s="1"/>
  <c r="AL82" i="10" s="1"/>
  <c r="AM82" i="10" s="1"/>
  <c r="AN82" i="10" s="1"/>
  <c r="AO82" i="10" s="1"/>
  <c r="AP82" i="10" s="1"/>
  <c r="AQ82" i="10" s="1"/>
  <c r="M81" i="10"/>
  <c r="L79" i="10"/>
  <c r="K78" i="10"/>
  <c r="N83" i="10"/>
  <c r="O83" i="10" s="1"/>
  <c r="P83" i="10" s="1"/>
  <c r="Q83" i="10" s="1"/>
  <c r="R83" i="10" s="1"/>
  <c r="S83" i="10" s="1"/>
  <c r="T83" i="10" s="1"/>
  <c r="U83" i="10" s="1"/>
  <c r="V83" i="10" s="1"/>
  <c r="W83" i="10" s="1"/>
  <c r="X83" i="10" s="1"/>
  <c r="Y83" i="10" s="1"/>
  <c r="Z83" i="10" s="1"/>
  <c r="AA83" i="10" s="1"/>
  <c r="AB83" i="10" s="1"/>
  <c r="AC83" i="10" s="1"/>
  <c r="AD83" i="10" s="1"/>
  <c r="AE83" i="10" s="1"/>
  <c r="AF83" i="10" s="1"/>
  <c r="AG83" i="10" s="1"/>
  <c r="AH83" i="10" s="1"/>
  <c r="AI83" i="10" s="1"/>
  <c r="AJ83" i="10" s="1"/>
  <c r="AK83" i="10" s="1"/>
  <c r="AL83" i="10" s="1"/>
  <c r="AM83" i="10" s="1"/>
  <c r="AN83" i="10" s="1"/>
  <c r="AO83" i="10" s="1"/>
  <c r="AP83" i="10" s="1"/>
  <c r="AQ83" i="10" s="1"/>
  <c r="M82" i="10"/>
  <c r="L80" i="10"/>
  <c r="J78" i="10"/>
  <c r="N84" i="10"/>
  <c r="O84" i="10" s="1"/>
  <c r="P84" i="10" s="1"/>
  <c r="Q84" i="10" s="1"/>
  <c r="R84" i="10" s="1"/>
  <c r="S84" i="10" s="1"/>
  <c r="T84" i="10" s="1"/>
  <c r="U84" i="10" s="1"/>
  <c r="V84" i="10" s="1"/>
  <c r="W84" i="10" s="1"/>
  <c r="X84" i="10" s="1"/>
  <c r="Y84" i="10" s="1"/>
  <c r="Z84" i="10" s="1"/>
  <c r="AA84" i="10" s="1"/>
  <c r="AB84" i="10" s="1"/>
  <c r="AC84" i="10" s="1"/>
  <c r="AD84" i="10" s="1"/>
  <c r="AE84" i="10" s="1"/>
  <c r="AF84" i="10" s="1"/>
  <c r="AG84" i="10" s="1"/>
  <c r="AH84" i="10" s="1"/>
  <c r="AI84" i="10" s="1"/>
  <c r="AJ84" i="10" s="1"/>
  <c r="AK84" i="10" s="1"/>
  <c r="AL84" i="10" s="1"/>
  <c r="AM84" i="10" s="1"/>
  <c r="AN84" i="10" s="1"/>
  <c r="AO84" i="10" s="1"/>
  <c r="AP84" i="10" s="1"/>
  <c r="AQ84" i="10" s="1"/>
  <c r="M83" i="10"/>
  <c r="L81" i="10"/>
  <c r="N85" i="10"/>
  <c r="M84" i="10"/>
  <c r="L82" i="10"/>
  <c r="M85" i="10"/>
  <c r="L83" i="10"/>
  <c r="C54" i="10"/>
  <c r="C187" i="10" s="1"/>
  <c r="P20" i="10"/>
  <c r="O22" i="10"/>
  <c r="P21" i="10"/>
  <c r="O11" i="10"/>
  <c r="O8" i="10"/>
  <c r="O6" i="10"/>
  <c r="O7" i="10"/>
  <c r="O9" i="10"/>
  <c r="Q19" i="10"/>
  <c r="P9" i="10"/>
  <c r="Q17" i="10"/>
  <c r="P7" i="10"/>
  <c r="N74" i="10"/>
  <c r="O73" i="10"/>
  <c r="E98" i="10"/>
  <c r="C186" i="10" s="1"/>
  <c r="L74" i="10"/>
  <c r="L77" i="10"/>
  <c r="K74" i="10"/>
  <c r="K77" i="10"/>
  <c r="J74" i="10"/>
  <c r="J77" i="10"/>
  <c r="I74" i="10"/>
  <c r="I77" i="10"/>
  <c r="D98" i="10"/>
  <c r="H74" i="10"/>
  <c r="H77" i="10"/>
  <c r="G74" i="10"/>
  <c r="G77" i="10"/>
  <c r="F74" i="10"/>
  <c r="F77" i="10"/>
  <c r="E74" i="10"/>
  <c r="E77" i="10"/>
  <c r="D74" i="10"/>
  <c r="D77" i="10"/>
  <c r="C98" i="10"/>
  <c r="J213" i="1"/>
  <c r="N213" i="1"/>
  <c r="M213" i="1"/>
  <c r="L213" i="1"/>
  <c r="C213" i="1"/>
  <c r="K213" i="1"/>
  <c r="I213" i="1"/>
  <c r="H213" i="1"/>
  <c r="G213" i="1"/>
  <c r="F213" i="1"/>
  <c r="E213" i="1"/>
  <c r="E84" i="23"/>
  <c r="D213" i="1"/>
  <c r="C77" i="23"/>
  <c r="C82" i="23"/>
  <c r="D77" i="23"/>
  <c r="D82" i="23"/>
  <c r="E77" i="23"/>
  <c r="F77" i="23"/>
  <c r="F82" i="23"/>
  <c r="G77" i="23"/>
  <c r="G82" i="23"/>
  <c r="H77" i="23"/>
  <c r="H82" i="23"/>
  <c r="I77" i="23"/>
  <c r="I82" i="23"/>
  <c r="J77" i="23"/>
  <c r="J82" i="23"/>
  <c r="K77" i="23"/>
  <c r="K82" i="23"/>
  <c r="L77" i="23"/>
  <c r="L82" i="23"/>
  <c r="M77" i="23"/>
  <c r="M82" i="23"/>
  <c r="N77" i="23"/>
  <c r="N82" i="23"/>
  <c r="O13" i="10" l="1"/>
  <c r="C189" i="10"/>
  <c r="C216" i="10" s="1"/>
  <c r="F188" i="10"/>
  <c r="O74" i="10"/>
  <c r="O64" i="10"/>
  <c r="P8" i="10"/>
  <c r="P6" i="10"/>
  <c r="P11" i="10"/>
  <c r="Q20" i="10"/>
  <c r="P10" i="10"/>
  <c r="P22" i="10"/>
  <c r="O85" i="10"/>
  <c r="O72" i="10" s="1"/>
  <c r="P77" i="10"/>
  <c r="P73" i="10"/>
  <c r="O71" i="10"/>
  <c r="O70" i="10"/>
  <c r="O69" i="10"/>
  <c r="O68" i="10"/>
  <c r="O67" i="10"/>
  <c r="O65" i="10"/>
  <c r="D89" i="22"/>
  <c r="E89" i="22"/>
  <c r="F89" i="22"/>
  <c r="G89" i="22"/>
  <c r="H89" i="22"/>
  <c r="I89" i="22"/>
  <c r="J89" i="22"/>
  <c r="K89" i="22"/>
  <c r="L89" i="22"/>
  <c r="M89" i="22"/>
  <c r="N89" i="22"/>
  <c r="C89" i="22"/>
  <c r="M100" i="22"/>
  <c r="L100" i="22"/>
  <c r="G100" i="22"/>
  <c r="F100" i="22"/>
  <c r="D90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C90" i="22"/>
  <c r="N100" i="22"/>
  <c r="K100" i="22"/>
  <c r="J100" i="22"/>
  <c r="I100" i="22"/>
  <c r="H100" i="22"/>
  <c r="E100" i="22"/>
  <c r="D91" i="22"/>
  <c r="D102" i="22" s="1"/>
  <c r="C91" i="22"/>
  <c r="C102" i="22" s="1"/>
  <c r="E162" i="20"/>
  <c r="D162" i="20"/>
  <c r="C162" i="20"/>
  <c r="C133" i="20"/>
  <c r="C134" i="20"/>
  <c r="N168" i="20"/>
  <c r="M168" i="20"/>
  <c r="L168" i="20"/>
  <c r="K168" i="20"/>
  <c r="J168" i="20"/>
  <c r="I168" i="20"/>
  <c r="H168" i="20"/>
  <c r="G168" i="20"/>
  <c r="F168" i="20"/>
  <c r="E168" i="20"/>
  <c r="D168" i="20"/>
  <c r="C168" i="20"/>
  <c r="N166" i="20"/>
  <c r="N95" i="22" s="1"/>
  <c r="M166" i="20"/>
  <c r="M95" i="22" s="1"/>
  <c r="L166" i="20"/>
  <c r="L95" i="22" s="1"/>
  <c r="K166" i="20"/>
  <c r="K95" i="22" s="1"/>
  <c r="J166" i="20"/>
  <c r="I166" i="20"/>
  <c r="H166" i="20"/>
  <c r="H95" i="22" s="1"/>
  <c r="G166" i="20"/>
  <c r="G93" i="22" s="1"/>
  <c r="G213" i="13" s="1"/>
  <c r="F166" i="20"/>
  <c r="E166" i="20"/>
  <c r="E95" i="22" s="1"/>
  <c r="D166" i="20"/>
  <c r="D95" i="22" s="1"/>
  <c r="C166" i="20"/>
  <c r="N157" i="20"/>
  <c r="N181" i="20" s="1"/>
  <c r="M157" i="20"/>
  <c r="M181" i="20" s="1"/>
  <c r="L157" i="20"/>
  <c r="L181" i="20" s="1"/>
  <c r="K157" i="20"/>
  <c r="K181" i="20" s="1"/>
  <c r="J157" i="20"/>
  <c r="J181" i="20" s="1"/>
  <c r="I157" i="20"/>
  <c r="I181" i="20" s="1"/>
  <c r="H157" i="20"/>
  <c r="H181" i="20" s="1"/>
  <c r="G157" i="20"/>
  <c r="G181" i="20" s="1"/>
  <c r="F157" i="20"/>
  <c r="F181" i="20" s="1"/>
  <c r="E157" i="20"/>
  <c r="E181" i="20" s="1"/>
  <c r="D157" i="20"/>
  <c r="D181" i="20" s="1"/>
  <c r="C157" i="20"/>
  <c r="C181" i="20" s="1"/>
  <c r="N148" i="20"/>
  <c r="M148" i="20"/>
  <c r="L148" i="20"/>
  <c r="K148" i="20"/>
  <c r="K171" i="20" s="1"/>
  <c r="K180" i="20" s="1"/>
  <c r="J148" i="20"/>
  <c r="J171" i="20" s="1"/>
  <c r="J180" i="20" s="1"/>
  <c r="I148" i="20"/>
  <c r="I171" i="20" s="1"/>
  <c r="I180" i="20" s="1"/>
  <c r="H148" i="20"/>
  <c r="H171" i="20" s="1"/>
  <c r="H180" i="20" s="1"/>
  <c r="G148" i="20"/>
  <c r="G171" i="20" s="1"/>
  <c r="G180" i="20" s="1"/>
  <c r="F148" i="20"/>
  <c r="F171" i="20" s="1"/>
  <c r="F180" i="20" s="1"/>
  <c r="E148" i="20"/>
  <c r="E171" i="20" s="1"/>
  <c r="E180" i="20" s="1"/>
  <c r="D148" i="20"/>
  <c r="C148" i="20"/>
  <c r="N162" i="20"/>
  <c r="M162" i="20"/>
  <c r="L162" i="20"/>
  <c r="K162" i="20"/>
  <c r="J162" i="20"/>
  <c r="I162" i="20"/>
  <c r="H162" i="20"/>
  <c r="G162" i="20"/>
  <c r="F162" i="20"/>
  <c r="N151" i="20"/>
  <c r="M151" i="20"/>
  <c r="L151" i="20"/>
  <c r="K151" i="20"/>
  <c r="J151" i="20"/>
  <c r="I151" i="20"/>
  <c r="H151" i="20"/>
  <c r="G151" i="20"/>
  <c r="F151" i="20"/>
  <c r="E151" i="20"/>
  <c r="D151" i="20"/>
  <c r="C151" i="20"/>
  <c r="N160" i="20"/>
  <c r="M160" i="20"/>
  <c r="L160" i="20"/>
  <c r="K160" i="20"/>
  <c r="J160" i="20"/>
  <c r="I160" i="20"/>
  <c r="H160" i="20"/>
  <c r="G160" i="20"/>
  <c r="F160" i="20"/>
  <c r="E160" i="20"/>
  <c r="D160" i="20"/>
  <c r="C160" i="20"/>
  <c r="N133" i="20"/>
  <c r="M133" i="20"/>
  <c r="L133" i="20"/>
  <c r="K133" i="20"/>
  <c r="J133" i="20"/>
  <c r="I133" i="20"/>
  <c r="H133" i="20"/>
  <c r="G133" i="20"/>
  <c r="F133" i="20"/>
  <c r="E133" i="20"/>
  <c r="D133" i="20"/>
  <c r="N134" i="20"/>
  <c r="M134" i="20"/>
  <c r="L134" i="20"/>
  <c r="K134" i="20"/>
  <c r="J134" i="20"/>
  <c r="I134" i="20"/>
  <c r="H134" i="20"/>
  <c r="G134" i="20"/>
  <c r="F134" i="20"/>
  <c r="E134" i="20"/>
  <c r="D134" i="20"/>
  <c r="N150" i="20"/>
  <c r="M150" i="20"/>
  <c r="L150" i="20"/>
  <c r="K150" i="20"/>
  <c r="J150" i="20"/>
  <c r="I150" i="20"/>
  <c r="H150" i="20"/>
  <c r="G150" i="20"/>
  <c r="F150" i="20"/>
  <c r="E150" i="20"/>
  <c r="D150" i="20"/>
  <c r="C150" i="20"/>
  <c r="N159" i="20"/>
  <c r="M159" i="20"/>
  <c r="L159" i="20"/>
  <c r="K159" i="20"/>
  <c r="J159" i="20"/>
  <c r="I159" i="20"/>
  <c r="H159" i="20"/>
  <c r="G159" i="20"/>
  <c r="F159" i="20"/>
  <c r="E159" i="20"/>
  <c r="D159" i="20"/>
  <c r="C159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N118" i="20"/>
  <c r="M118" i="20"/>
  <c r="L118" i="20"/>
  <c r="K118" i="20"/>
  <c r="J118" i="20"/>
  <c r="I118" i="20"/>
  <c r="H118" i="20"/>
  <c r="G118" i="20"/>
  <c r="F118" i="20"/>
  <c r="E118" i="20"/>
  <c r="D118" i="20"/>
  <c r="C118" i="20"/>
  <c r="N149" i="20"/>
  <c r="M149" i="20"/>
  <c r="L149" i="20"/>
  <c r="K149" i="20"/>
  <c r="J149" i="20"/>
  <c r="I149" i="20"/>
  <c r="H149" i="20"/>
  <c r="G149" i="20"/>
  <c r="F149" i="20"/>
  <c r="E149" i="20"/>
  <c r="D149" i="20"/>
  <c r="C149" i="20"/>
  <c r="N158" i="20"/>
  <c r="N164" i="20" s="1"/>
  <c r="N144" i="20" s="1"/>
  <c r="M158" i="20"/>
  <c r="L158" i="20"/>
  <c r="K158" i="20"/>
  <c r="J158" i="20"/>
  <c r="I158" i="20"/>
  <c r="H158" i="20"/>
  <c r="G158" i="20"/>
  <c r="F158" i="20"/>
  <c r="E158" i="20"/>
  <c r="D158" i="20"/>
  <c r="C158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C168" i="6"/>
  <c r="P13" i="10" l="1"/>
  <c r="C218" i="10"/>
  <c r="C214" i="10"/>
  <c r="C215" i="10"/>
  <c r="C217" i="10"/>
  <c r="G188" i="10"/>
  <c r="L171" i="20"/>
  <c r="L180" i="20" s="1"/>
  <c r="D171" i="20"/>
  <c r="D180" i="20" s="1"/>
  <c r="M171" i="20"/>
  <c r="M180" i="20" s="1"/>
  <c r="N171" i="20"/>
  <c r="N180" i="20" s="1"/>
  <c r="C95" i="22"/>
  <c r="C93" i="22"/>
  <c r="C213" i="13" s="1"/>
  <c r="F95" i="22"/>
  <c r="F93" i="22"/>
  <c r="F213" i="13" s="1"/>
  <c r="I95" i="22"/>
  <c r="I93" i="22"/>
  <c r="I213" i="13" s="1"/>
  <c r="J95" i="22"/>
  <c r="J93" i="22"/>
  <c r="J213" i="13" s="1"/>
  <c r="Q10" i="10"/>
  <c r="Q22" i="10"/>
  <c r="R21" i="10"/>
  <c r="Q11" i="10"/>
  <c r="Q8" i="10"/>
  <c r="Q6" i="10"/>
  <c r="Q13" i="10" s="1"/>
  <c r="Q7" i="10"/>
  <c r="Q9" i="10"/>
  <c r="R9" i="10"/>
  <c r="D51" i="10" s="1"/>
  <c r="R7" i="10"/>
  <c r="Q73" i="10"/>
  <c r="P71" i="10"/>
  <c r="P70" i="10"/>
  <c r="P69" i="10"/>
  <c r="P68" i="10"/>
  <c r="P67" i="10"/>
  <c r="P65" i="10"/>
  <c r="P64" i="10"/>
  <c r="P85" i="10"/>
  <c r="P72" i="10" s="1"/>
  <c r="Q77" i="10"/>
  <c r="H93" i="22"/>
  <c r="H213" i="13" s="1"/>
  <c r="E93" i="22"/>
  <c r="E213" i="13" s="1"/>
  <c r="G95" i="22"/>
  <c r="N93" i="22"/>
  <c r="N213" i="13" s="1"/>
  <c r="D93" i="22"/>
  <c r="D99" i="22" s="1"/>
  <c r="M93" i="22"/>
  <c r="M213" i="13" s="1"/>
  <c r="L93" i="22"/>
  <c r="L213" i="13" s="1"/>
  <c r="K93" i="22"/>
  <c r="K213" i="13" s="1"/>
  <c r="F101" i="22"/>
  <c r="F99" i="22"/>
  <c r="F94" i="22"/>
  <c r="G101" i="22"/>
  <c r="G99" i="22"/>
  <c r="G94" i="22"/>
  <c r="C100" i="22"/>
  <c r="E90" i="22"/>
  <c r="E91" i="22"/>
  <c r="E102" i="22" s="1"/>
  <c r="F90" i="22"/>
  <c r="F91" i="22"/>
  <c r="F102" i="22" s="1"/>
  <c r="G90" i="22"/>
  <c r="G91" i="22"/>
  <c r="G102" i="22" s="1"/>
  <c r="H90" i="22"/>
  <c r="H91" i="22"/>
  <c r="H102" i="22" s="1"/>
  <c r="I90" i="22"/>
  <c r="I91" i="22"/>
  <c r="I102" i="22" s="1"/>
  <c r="D100" i="22"/>
  <c r="J90" i="22"/>
  <c r="J91" i="22"/>
  <c r="J102" i="22" s="1"/>
  <c r="K90" i="22"/>
  <c r="K91" i="22"/>
  <c r="K102" i="22" s="1"/>
  <c r="L90" i="22"/>
  <c r="L91" i="22"/>
  <c r="L102" i="22" s="1"/>
  <c r="M90" i="22"/>
  <c r="M91" i="22"/>
  <c r="M102" i="22" s="1"/>
  <c r="N90" i="22"/>
  <c r="N91" i="22"/>
  <c r="N102" i="22" s="1"/>
  <c r="I164" i="20"/>
  <c r="I144" i="20" s="1"/>
  <c r="K164" i="20"/>
  <c r="K144" i="20" s="1"/>
  <c r="L164" i="20"/>
  <c r="L144" i="20" s="1"/>
  <c r="M164" i="20"/>
  <c r="M144" i="20" s="1"/>
  <c r="C164" i="20"/>
  <c r="C144" i="20" s="1"/>
  <c r="D164" i="20"/>
  <c r="D144" i="20" s="1"/>
  <c r="G164" i="20"/>
  <c r="G144" i="20" s="1"/>
  <c r="E164" i="20"/>
  <c r="E144" i="20" s="1"/>
  <c r="H164" i="20"/>
  <c r="H144" i="20" s="1"/>
  <c r="F164" i="20"/>
  <c r="F144" i="20" s="1"/>
  <c r="J164" i="20"/>
  <c r="J144" i="20" s="1"/>
  <c r="E173" i="20"/>
  <c r="F173" i="20"/>
  <c r="G173" i="20"/>
  <c r="H173" i="20"/>
  <c r="C173" i="20"/>
  <c r="I173" i="20"/>
  <c r="D173" i="20"/>
  <c r="J173" i="20"/>
  <c r="K173" i="20"/>
  <c r="L173" i="20"/>
  <c r="M173" i="20"/>
  <c r="N173" i="20"/>
  <c r="D152" i="20"/>
  <c r="D154" i="20" s="1"/>
  <c r="D155" i="20" s="1"/>
  <c r="D143" i="20" s="1"/>
  <c r="D172" i="20"/>
  <c r="C172" i="20"/>
  <c r="E152" i="20"/>
  <c r="E154" i="20" s="1"/>
  <c r="E155" i="20" s="1"/>
  <c r="E143" i="20" s="1"/>
  <c r="E172" i="20"/>
  <c r="F152" i="20"/>
  <c r="F154" i="20" s="1"/>
  <c r="F155" i="20" s="1"/>
  <c r="F143" i="20" s="1"/>
  <c r="F172" i="20"/>
  <c r="C171" i="20"/>
  <c r="C180" i="20" s="1"/>
  <c r="G152" i="20"/>
  <c r="G154" i="20" s="1"/>
  <c r="G155" i="20" s="1"/>
  <c r="G143" i="20" s="1"/>
  <c r="G172" i="20"/>
  <c r="H152" i="20"/>
  <c r="H154" i="20" s="1"/>
  <c r="H155" i="20" s="1"/>
  <c r="H143" i="20" s="1"/>
  <c r="H172" i="20"/>
  <c r="C152" i="20"/>
  <c r="C154" i="20" s="1"/>
  <c r="C155" i="20" s="1"/>
  <c r="C143" i="20" s="1"/>
  <c r="I152" i="20"/>
  <c r="I154" i="20" s="1"/>
  <c r="I155" i="20" s="1"/>
  <c r="I143" i="20" s="1"/>
  <c r="I172" i="20"/>
  <c r="J152" i="20"/>
  <c r="J154" i="20" s="1"/>
  <c r="J155" i="20" s="1"/>
  <c r="J143" i="20" s="1"/>
  <c r="J172" i="20"/>
  <c r="K152" i="20"/>
  <c r="K154" i="20" s="1"/>
  <c r="K155" i="20" s="1"/>
  <c r="K143" i="20" s="1"/>
  <c r="K172" i="20"/>
  <c r="L152" i="20"/>
  <c r="L154" i="20" s="1"/>
  <c r="L155" i="20" s="1"/>
  <c r="L143" i="20" s="1"/>
  <c r="L172" i="20"/>
  <c r="M152" i="20"/>
  <c r="M154" i="20" s="1"/>
  <c r="M155" i="20" s="1"/>
  <c r="M143" i="20" s="1"/>
  <c r="M172" i="20"/>
  <c r="N152" i="20"/>
  <c r="N154" i="20" s="1"/>
  <c r="N155" i="20" s="1"/>
  <c r="N143" i="20" s="1"/>
  <c r="N172" i="20"/>
  <c r="D49" i="10" l="1"/>
  <c r="R13" i="10"/>
  <c r="C219" i="10"/>
  <c r="H188" i="10"/>
  <c r="I188" i="10"/>
  <c r="E94" i="22"/>
  <c r="E99" i="22"/>
  <c r="E101" i="22"/>
  <c r="N94" i="22"/>
  <c r="N99" i="22"/>
  <c r="H94" i="22"/>
  <c r="N101" i="22"/>
  <c r="I94" i="22"/>
  <c r="H99" i="22"/>
  <c r="H101" i="22"/>
  <c r="M94" i="22"/>
  <c r="L101" i="22"/>
  <c r="I101" i="22"/>
  <c r="I99" i="22"/>
  <c r="D94" i="22"/>
  <c r="J94" i="22"/>
  <c r="J99" i="22"/>
  <c r="J101" i="22"/>
  <c r="R8" i="10"/>
  <c r="D50" i="10" s="1"/>
  <c r="D48" i="10"/>
  <c r="R11" i="10"/>
  <c r="D53" i="10" s="1"/>
  <c r="D52" i="10"/>
  <c r="R22" i="10"/>
  <c r="Q85" i="10"/>
  <c r="Q72" i="10" s="1"/>
  <c r="R77" i="10"/>
  <c r="R73" i="10"/>
  <c r="Q71" i="10"/>
  <c r="Q70" i="10"/>
  <c r="Q69" i="10"/>
  <c r="Q68" i="10"/>
  <c r="Q67" i="10"/>
  <c r="Q65" i="10"/>
  <c r="Q64" i="10"/>
  <c r="M99" i="22"/>
  <c r="K94" i="22"/>
  <c r="D213" i="13"/>
  <c r="D101" i="22"/>
  <c r="K99" i="22"/>
  <c r="M101" i="22"/>
  <c r="K101" i="22"/>
  <c r="L94" i="22"/>
  <c r="L99" i="22"/>
  <c r="C101" i="22"/>
  <c r="C94" i="22"/>
  <c r="C99" i="22"/>
  <c r="M183" i="20"/>
  <c r="M182" i="20"/>
  <c r="M167" i="20"/>
  <c r="C167" i="20"/>
  <c r="C182" i="20"/>
  <c r="C183" i="20"/>
  <c r="L183" i="20"/>
  <c r="L182" i="20"/>
  <c r="L167" i="20"/>
  <c r="N183" i="20"/>
  <c r="N182" i="20"/>
  <c r="N167" i="20"/>
  <c r="H183" i="20"/>
  <c r="H182" i="20"/>
  <c r="H167" i="20"/>
  <c r="K183" i="20"/>
  <c r="K182" i="20"/>
  <c r="K167" i="20"/>
  <c r="G183" i="20"/>
  <c r="G182" i="20"/>
  <c r="G167" i="20"/>
  <c r="I183" i="20"/>
  <c r="I182" i="20"/>
  <c r="I167" i="20"/>
  <c r="J183" i="20"/>
  <c r="J182" i="20"/>
  <c r="J167" i="20"/>
  <c r="F183" i="20"/>
  <c r="F182" i="20"/>
  <c r="F167" i="20"/>
  <c r="D183" i="20"/>
  <c r="D182" i="20"/>
  <c r="D167" i="20"/>
  <c r="E183" i="20"/>
  <c r="E182" i="20"/>
  <c r="E167" i="20"/>
  <c r="D54" i="10" l="1"/>
  <c r="D187" i="10" s="1"/>
  <c r="S10" i="10"/>
  <c r="S22" i="10"/>
  <c r="S11" i="10"/>
  <c r="S8" i="10"/>
  <c r="S6" i="10"/>
  <c r="S7" i="10"/>
  <c r="S9" i="10"/>
  <c r="T9" i="10"/>
  <c r="T7" i="10"/>
  <c r="F98" i="10"/>
  <c r="D186" i="10" s="1"/>
  <c r="S73" i="10"/>
  <c r="R71" i="10"/>
  <c r="F96" i="10" s="1"/>
  <c r="R70" i="10"/>
  <c r="F95" i="10" s="1"/>
  <c r="R69" i="10"/>
  <c r="F94" i="10" s="1"/>
  <c r="R68" i="10"/>
  <c r="F93" i="10" s="1"/>
  <c r="R67" i="10"/>
  <c r="F92" i="10" s="1"/>
  <c r="R66" i="10"/>
  <c r="F91" i="10" s="1"/>
  <c r="R65" i="10"/>
  <c r="F90" i="10" s="1"/>
  <c r="R64" i="10"/>
  <c r="F89" i="10" s="1"/>
  <c r="R85" i="10"/>
  <c r="R72" i="10" s="1"/>
  <c r="F97" i="10" s="1"/>
  <c r="S77" i="10"/>
  <c r="D335" i="18"/>
  <c r="E335" i="18"/>
  <c r="F335" i="18"/>
  <c r="G335" i="18"/>
  <c r="H335" i="18"/>
  <c r="I335" i="18"/>
  <c r="J335" i="18"/>
  <c r="K335" i="18"/>
  <c r="L335" i="18"/>
  <c r="M335" i="18"/>
  <c r="N335" i="18"/>
  <c r="C335" i="18"/>
  <c r="D334" i="18"/>
  <c r="E334" i="18"/>
  <c r="F334" i="18"/>
  <c r="G334" i="18"/>
  <c r="H334" i="18"/>
  <c r="I334" i="18"/>
  <c r="J334" i="18"/>
  <c r="K334" i="18"/>
  <c r="L334" i="18"/>
  <c r="M334" i="18"/>
  <c r="N334" i="18"/>
  <c r="C334" i="18"/>
  <c r="D333" i="18"/>
  <c r="E333" i="18"/>
  <c r="F333" i="18"/>
  <c r="G333" i="18"/>
  <c r="H333" i="18"/>
  <c r="I333" i="18"/>
  <c r="J333" i="18"/>
  <c r="K333" i="18"/>
  <c r="L333" i="18"/>
  <c r="M333" i="18"/>
  <c r="N333" i="18"/>
  <c r="C333" i="18"/>
  <c r="D332" i="18"/>
  <c r="E332" i="18"/>
  <c r="F332" i="18"/>
  <c r="G332" i="18"/>
  <c r="H332" i="18"/>
  <c r="I332" i="18"/>
  <c r="J332" i="18"/>
  <c r="K332" i="18"/>
  <c r="L332" i="18"/>
  <c r="M332" i="18"/>
  <c r="N332" i="18"/>
  <c r="C332" i="18"/>
  <c r="D331" i="18"/>
  <c r="E331" i="18"/>
  <c r="F331" i="18"/>
  <c r="G331" i="18"/>
  <c r="H331" i="18"/>
  <c r="I331" i="18"/>
  <c r="J331" i="18"/>
  <c r="K331" i="18"/>
  <c r="L331" i="18"/>
  <c r="M331" i="18"/>
  <c r="N331" i="18"/>
  <c r="C331" i="18"/>
  <c r="E352" i="18"/>
  <c r="E364" i="18" s="1"/>
  <c r="D352" i="18"/>
  <c r="D364" i="18" s="1"/>
  <c r="C260" i="18"/>
  <c r="L260" i="18"/>
  <c r="K260" i="18"/>
  <c r="J260" i="18"/>
  <c r="I260" i="18"/>
  <c r="H260" i="18"/>
  <c r="K352" i="18"/>
  <c r="K364" i="18" s="1"/>
  <c r="G352" i="18"/>
  <c r="G364" i="18" s="1"/>
  <c r="F352" i="18"/>
  <c r="F364" i="18" s="1"/>
  <c r="I250" i="18"/>
  <c r="G250" i="18"/>
  <c r="M250" i="18"/>
  <c r="L250" i="18"/>
  <c r="H250" i="18"/>
  <c r="E250" i="18"/>
  <c r="I240" i="18"/>
  <c r="G240" i="18"/>
  <c r="H240" i="18"/>
  <c r="E240" i="18"/>
  <c r="D350" i="18"/>
  <c r="C350" i="18"/>
  <c r="C223" i="18"/>
  <c r="L223" i="18"/>
  <c r="K223" i="18"/>
  <c r="J223" i="18"/>
  <c r="I223" i="18"/>
  <c r="H223" i="18"/>
  <c r="G343" i="18"/>
  <c r="G361" i="18" s="1"/>
  <c r="F224" i="18"/>
  <c r="E224" i="18"/>
  <c r="L325" i="18"/>
  <c r="K325" i="18"/>
  <c r="I325" i="18"/>
  <c r="H325" i="18"/>
  <c r="F325" i="18"/>
  <c r="E209" i="18"/>
  <c r="E326" i="18"/>
  <c r="D326" i="18"/>
  <c r="C326" i="18"/>
  <c r="F199" i="18"/>
  <c r="E199" i="18"/>
  <c r="D199" i="18"/>
  <c r="C199" i="18"/>
  <c r="C324" i="18"/>
  <c r="C367" i="18" s="1"/>
  <c r="C192" i="18"/>
  <c r="N338" i="18"/>
  <c r="M338" i="18"/>
  <c r="L338" i="18"/>
  <c r="K338" i="18"/>
  <c r="M227" i="18"/>
  <c r="L227" i="18"/>
  <c r="K227" i="18"/>
  <c r="H227" i="18"/>
  <c r="G227" i="18"/>
  <c r="F227" i="18"/>
  <c r="E227" i="18"/>
  <c r="L226" i="18"/>
  <c r="K226" i="18"/>
  <c r="E226" i="18"/>
  <c r="E184" i="18"/>
  <c r="N363" i="18"/>
  <c r="M363" i="18"/>
  <c r="L363" i="18"/>
  <c r="K363" i="18"/>
  <c r="J363" i="18"/>
  <c r="I363" i="18"/>
  <c r="H363" i="18"/>
  <c r="G363" i="18"/>
  <c r="F363" i="18"/>
  <c r="E363" i="18"/>
  <c r="D363" i="18"/>
  <c r="C363" i="18"/>
  <c r="N357" i="18"/>
  <c r="M357" i="18"/>
  <c r="L357" i="18"/>
  <c r="K357" i="18"/>
  <c r="J357" i="18"/>
  <c r="I357" i="18"/>
  <c r="H357" i="18"/>
  <c r="G357" i="18"/>
  <c r="F357" i="18"/>
  <c r="E357" i="18"/>
  <c r="D357" i="18"/>
  <c r="C357" i="18"/>
  <c r="N350" i="18"/>
  <c r="N348" i="18"/>
  <c r="D348" i="18"/>
  <c r="C348" i="18"/>
  <c r="N347" i="18"/>
  <c r="D347" i="18"/>
  <c r="C347" i="18"/>
  <c r="N346" i="18"/>
  <c r="D346" i="18"/>
  <c r="C346" i="18"/>
  <c r="N345" i="18"/>
  <c r="D345" i="18"/>
  <c r="C345" i="18"/>
  <c r="N344" i="18"/>
  <c r="N362" i="18" s="1"/>
  <c r="D344" i="18"/>
  <c r="D362" i="18" s="1"/>
  <c r="C344" i="18"/>
  <c r="C362" i="18" s="1"/>
  <c r="N343" i="18"/>
  <c r="N361" i="18" s="1"/>
  <c r="D343" i="18"/>
  <c r="D361" i="18" s="1"/>
  <c r="C343" i="18"/>
  <c r="C361" i="18" s="1"/>
  <c r="D342" i="18"/>
  <c r="C338" i="18"/>
  <c r="C325" i="18"/>
  <c r="C323" i="18"/>
  <c r="N260" i="18"/>
  <c r="M260" i="18"/>
  <c r="G260" i="18"/>
  <c r="F260" i="18"/>
  <c r="E260" i="18"/>
  <c r="D260" i="18"/>
  <c r="N352" i="18"/>
  <c r="N364" i="18" s="1"/>
  <c r="M352" i="18"/>
  <c r="M364" i="18" s="1"/>
  <c r="L352" i="18"/>
  <c r="L364" i="18" s="1"/>
  <c r="J352" i="18"/>
  <c r="J364" i="18" s="1"/>
  <c r="I352" i="18"/>
  <c r="I364" i="18" s="1"/>
  <c r="H352" i="18"/>
  <c r="H364" i="18" s="1"/>
  <c r="D250" i="18"/>
  <c r="N250" i="18"/>
  <c r="K250" i="18"/>
  <c r="J250" i="18"/>
  <c r="F250" i="18"/>
  <c r="C250" i="18"/>
  <c r="N351" i="18"/>
  <c r="M351" i="18"/>
  <c r="L351" i="18"/>
  <c r="K351" i="18"/>
  <c r="J351" i="18"/>
  <c r="I351" i="18"/>
  <c r="H351" i="18"/>
  <c r="G351" i="18"/>
  <c r="F351" i="18"/>
  <c r="E351" i="18"/>
  <c r="D351" i="18"/>
  <c r="C351" i="18"/>
  <c r="N240" i="18"/>
  <c r="M240" i="18"/>
  <c r="L240" i="18"/>
  <c r="K240" i="18"/>
  <c r="J240" i="18"/>
  <c r="F240" i="18"/>
  <c r="D240" i="18"/>
  <c r="C240" i="18"/>
  <c r="M350" i="18"/>
  <c r="L350" i="18"/>
  <c r="K350" i="18"/>
  <c r="J350" i="18"/>
  <c r="I350" i="18"/>
  <c r="H350" i="18"/>
  <c r="G350" i="18"/>
  <c r="F350" i="18"/>
  <c r="E350" i="18"/>
  <c r="N227" i="18"/>
  <c r="C227" i="18"/>
  <c r="N226" i="18"/>
  <c r="H226" i="18"/>
  <c r="C226" i="18"/>
  <c r="N342" i="18"/>
  <c r="M223" i="18"/>
  <c r="F223" i="18"/>
  <c r="E223" i="18"/>
  <c r="D223" i="18"/>
  <c r="M348" i="18"/>
  <c r="L348" i="18"/>
  <c r="K348" i="18"/>
  <c r="J348" i="18"/>
  <c r="I348" i="18"/>
  <c r="H348" i="18"/>
  <c r="G348" i="18"/>
  <c r="F348" i="18"/>
  <c r="E348" i="18"/>
  <c r="M347" i="18"/>
  <c r="L347" i="18"/>
  <c r="J347" i="18"/>
  <c r="I347" i="18"/>
  <c r="H347" i="18"/>
  <c r="G347" i="18"/>
  <c r="F347" i="18"/>
  <c r="E347" i="18"/>
  <c r="M346" i="18"/>
  <c r="L346" i="18"/>
  <c r="K346" i="18"/>
  <c r="I346" i="18"/>
  <c r="H346" i="18"/>
  <c r="G224" i="18"/>
  <c r="F346" i="18"/>
  <c r="E346" i="18"/>
  <c r="M224" i="18"/>
  <c r="L224" i="18"/>
  <c r="K224" i="18"/>
  <c r="H224" i="18"/>
  <c r="G345" i="18"/>
  <c r="D224" i="18"/>
  <c r="M344" i="18"/>
  <c r="M362" i="18" s="1"/>
  <c r="L344" i="18"/>
  <c r="L362" i="18" s="1"/>
  <c r="K344" i="18"/>
  <c r="K362" i="18" s="1"/>
  <c r="J344" i="18"/>
  <c r="J362" i="18" s="1"/>
  <c r="I344" i="18"/>
  <c r="I362" i="18" s="1"/>
  <c r="G344" i="18"/>
  <c r="G362" i="18" s="1"/>
  <c r="F344" i="18"/>
  <c r="F362" i="18" s="1"/>
  <c r="E344" i="18"/>
  <c r="E362" i="18" s="1"/>
  <c r="M343" i="18"/>
  <c r="M361" i="18" s="1"/>
  <c r="L343" i="18"/>
  <c r="L361" i="18" s="1"/>
  <c r="K343" i="18"/>
  <c r="K361" i="18" s="1"/>
  <c r="J343" i="18"/>
  <c r="J361" i="18" s="1"/>
  <c r="I343" i="18"/>
  <c r="I361" i="18" s="1"/>
  <c r="H343" i="18"/>
  <c r="H361" i="18" s="1"/>
  <c r="F343" i="18"/>
  <c r="F361" i="18" s="1"/>
  <c r="E343" i="18"/>
  <c r="E361" i="18" s="1"/>
  <c r="N325" i="18"/>
  <c r="M325" i="18"/>
  <c r="J325" i="18"/>
  <c r="G325" i="18"/>
  <c r="D325" i="18"/>
  <c r="C209" i="18"/>
  <c r="N326" i="18"/>
  <c r="M326" i="18"/>
  <c r="L326" i="18"/>
  <c r="K326" i="18"/>
  <c r="J326" i="18"/>
  <c r="I326" i="18"/>
  <c r="H326" i="18"/>
  <c r="G326" i="18"/>
  <c r="F326" i="18"/>
  <c r="N199" i="18"/>
  <c r="M199" i="18"/>
  <c r="L199" i="18"/>
  <c r="K199" i="18"/>
  <c r="J199" i="18"/>
  <c r="I199" i="18"/>
  <c r="H199" i="18"/>
  <c r="G199" i="18"/>
  <c r="N324" i="18"/>
  <c r="M324" i="18"/>
  <c r="L324" i="18"/>
  <c r="K324" i="18"/>
  <c r="J324" i="18"/>
  <c r="I324" i="18"/>
  <c r="H324" i="18"/>
  <c r="G324" i="18"/>
  <c r="F324" i="18"/>
  <c r="E324" i="18"/>
  <c r="D192" i="18"/>
  <c r="J338" i="18"/>
  <c r="I338" i="18"/>
  <c r="H338" i="18"/>
  <c r="G338" i="18"/>
  <c r="F338" i="18"/>
  <c r="E338" i="18"/>
  <c r="D184" i="18"/>
  <c r="J227" i="18"/>
  <c r="I227" i="18"/>
  <c r="D227" i="18"/>
  <c r="M226" i="18"/>
  <c r="J226" i="18"/>
  <c r="I226" i="18"/>
  <c r="G226" i="18"/>
  <c r="F226" i="18"/>
  <c r="D226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N49" i="18"/>
  <c r="N56" i="18" s="1"/>
  <c r="M49" i="18"/>
  <c r="M56" i="18" s="1"/>
  <c r="L49" i="18"/>
  <c r="L56" i="18" s="1"/>
  <c r="K49" i="18"/>
  <c r="K56" i="18" s="1"/>
  <c r="J49" i="18"/>
  <c r="J56" i="18" s="1"/>
  <c r="I49" i="18"/>
  <c r="I56" i="18" s="1"/>
  <c r="H49" i="18"/>
  <c r="H56" i="18" s="1"/>
  <c r="G49" i="18"/>
  <c r="G56" i="18" s="1"/>
  <c r="F49" i="18"/>
  <c r="F56" i="18" s="1"/>
  <c r="E49" i="18"/>
  <c r="E56" i="18" s="1"/>
  <c r="D49" i="18"/>
  <c r="D56" i="18" s="1"/>
  <c r="C49" i="18"/>
  <c r="C56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N8" i="18"/>
  <c r="N20" i="18" s="1"/>
  <c r="M8" i="18"/>
  <c r="M20" i="18" s="1"/>
  <c r="L8" i="18"/>
  <c r="L20" i="18" s="1"/>
  <c r="K8" i="18"/>
  <c r="K20" i="18" s="1"/>
  <c r="J8" i="18"/>
  <c r="J20" i="18" s="1"/>
  <c r="I8" i="18"/>
  <c r="I20" i="18" s="1"/>
  <c r="H8" i="18"/>
  <c r="H20" i="18" s="1"/>
  <c r="G8" i="18"/>
  <c r="G20" i="18" s="1"/>
  <c r="F8" i="18"/>
  <c r="F20" i="18" s="1"/>
  <c r="E8" i="18"/>
  <c r="E12" i="18" s="1"/>
  <c r="D8" i="18"/>
  <c r="D20" i="18" s="1"/>
  <c r="C8" i="18"/>
  <c r="C20" i="18" s="1"/>
  <c r="C454" i="16"/>
  <c r="M415" i="16"/>
  <c r="G415" i="16"/>
  <c r="C415" i="16"/>
  <c r="M416" i="16"/>
  <c r="G416" i="16"/>
  <c r="C416" i="16"/>
  <c r="N449" i="16"/>
  <c r="D449" i="16"/>
  <c r="C449" i="16"/>
  <c r="N392" i="16"/>
  <c r="L392" i="16"/>
  <c r="D392" i="16"/>
  <c r="C392" i="16"/>
  <c r="N393" i="16"/>
  <c r="D393" i="16"/>
  <c r="C393" i="16"/>
  <c r="C447" i="16"/>
  <c r="C367" i="16"/>
  <c r="M368" i="16"/>
  <c r="E368" i="16"/>
  <c r="C368" i="16"/>
  <c r="C441" i="16"/>
  <c r="C498" i="16" s="1"/>
  <c r="M344" i="16"/>
  <c r="L344" i="16"/>
  <c r="F344" i="16"/>
  <c r="C344" i="16"/>
  <c r="M345" i="16"/>
  <c r="L345" i="16"/>
  <c r="F345" i="16"/>
  <c r="C345" i="16"/>
  <c r="C440" i="16"/>
  <c r="C497" i="16" s="1"/>
  <c r="C324" i="16"/>
  <c r="C325" i="16"/>
  <c r="C438" i="16"/>
  <c r="C496" i="16" s="1"/>
  <c r="M304" i="16"/>
  <c r="G305" i="16"/>
  <c r="C305" i="16"/>
  <c r="N437" i="16"/>
  <c r="M437" i="16"/>
  <c r="L437" i="16"/>
  <c r="K437" i="16"/>
  <c r="E437" i="16"/>
  <c r="C437" i="16"/>
  <c r="N284" i="16"/>
  <c r="M284" i="16"/>
  <c r="L284" i="16"/>
  <c r="K284" i="16"/>
  <c r="E284" i="16"/>
  <c r="C284" i="16"/>
  <c r="N285" i="16"/>
  <c r="M285" i="16"/>
  <c r="L285" i="16"/>
  <c r="K285" i="16"/>
  <c r="E285" i="16"/>
  <c r="C285" i="16"/>
  <c r="N436" i="16"/>
  <c r="M436" i="16"/>
  <c r="L436" i="16"/>
  <c r="K436" i="16"/>
  <c r="H436" i="16"/>
  <c r="G436" i="16"/>
  <c r="F436" i="16"/>
  <c r="E436" i="16"/>
  <c r="N264" i="16"/>
  <c r="M264" i="16"/>
  <c r="L264" i="16"/>
  <c r="K264" i="16"/>
  <c r="H264" i="16"/>
  <c r="G264" i="16"/>
  <c r="F264" i="16"/>
  <c r="E264" i="16"/>
  <c r="N265" i="16"/>
  <c r="L265" i="16"/>
  <c r="K265" i="16"/>
  <c r="G265" i="16"/>
  <c r="F265" i="16"/>
  <c r="E265" i="16"/>
  <c r="D434" i="16"/>
  <c r="D494" i="16" s="1"/>
  <c r="C434" i="16"/>
  <c r="C494" i="16" s="1"/>
  <c r="D244" i="16"/>
  <c r="C244" i="16"/>
  <c r="D245" i="16"/>
  <c r="C245" i="16"/>
  <c r="F433" i="16"/>
  <c r="F493" i="16" s="1"/>
  <c r="D433" i="16"/>
  <c r="D493" i="16" s="1"/>
  <c r="C433" i="16"/>
  <c r="C493" i="16" s="1"/>
  <c r="F224" i="16"/>
  <c r="D224" i="16"/>
  <c r="C224" i="16"/>
  <c r="F225" i="16"/>
  <c r="C225" i="16"/>
  <c r="C432" i="16"/>
  <c r="C510" i="16" s="1"/>
  <c r="C455" i="16"/>
  <c r="C204" i="16"/>
  <c r="C205" i="16"/>
  <c r="E431" i="16"/>
  <c r="E491" i="16" s="1"/>
  <c r="D431" i="16"/>
  <c r="D491" i="16" s="1"/>
  <c r="E183" i="16"/>
  <c r="D183" i="16"/>
  <c r="E184" i="16"/>
  <c r="D184" i="16"/>
  <c r="C430" i="16"/>
  <c r="C490" i="16" s="1"/>
  <c r="C163" i="16"/>
  <c r="C164" i="16"/>
  <c r="C429" i="16"/>
  <c r="C489" i="16" s="1"/>
  <c r="C143" i="16"/>
  <c r="C144" i="16"/>
  <c r="C444" i="16"/>
  <c r="C123" i="16"/>
  <c r="C124" i="16"/>
  <c r="N481" i="16"/>
  <c r="M481" i="16"/>
  <c r="L481" i="16"/>
  <c r="K481" i="16"/>
  <c r="J481" i="16"/>
  <c r="I481" i="16"/>
  <c r="H481" i="16"/>
  <c r="G481" i="16"/>
  <c r="F481" i="16"/>
  <c r="E481" i="16"/>
  <c r="D481" i="16"/>
  <c r="C481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N479" i="16"/>
  <c r="M479" i="16"/>
  <c r="L479" i="16"/>
  <c r="K479" i="16"/>
  <c r="J479" i="16"/>
  <c r="I479" i="16"/>
  <c r="H479" i="16"/>
  <c r="G479" i="16"/>
  <c r="F479" i="16"/>
  <c r="E479" i="16"/>
  <c r="D479" i="16"/>
  <c r="C479" i="16"/>
  <c r="N475" i="16"/>
  <c r="M475" i="16"/>
  <c r="L475" i="16"/>
  <c r="K475" i="16"/>
  <c r="J475" i="16"/>
  <c r="I475" i="16"/>
  <c r="H475" i="16"/>
  <c r="G475" i="16"/>
  <c r="F475" i="16"/>
  <c r="E475" i="16"/>
  <c r="D475" i="16"/>
  <c r="C475" i="16"/>
  <c r="N451" i="16"/>
  <c r="M451" i="16"/>
  <c r="L451" i="16"/>
  <c r="K451" i="16"/>
  <c r="J451" i="16"/>
  <c r="I451" i="16"/>
  <c r="H451" i="16"/>
  <c r="G451" i="16"/>
  <c r="F451" i="16"/>
  <c r="E451" i="16"/>
  <c r="D451" i="16"/>
  <c r="C451" i="16"/>
  <c r="N448" i="16"/>
  <c r="M448" i="16"/>
  <c r="L448" i="16"/>
  <c r="K448" i="16"/>
  <c r="J448" i="16"/>
  <c r="I448" i="16"/>
  <c r="H448" i="16"/>
  <c r="G448" i="16"/>
  <c r="F448" i="16"/>
  <c r="E448" i="16"/>
  <c r="D448" i="16"/>
  <c r="C448" i="16"/>
  <c r="M441" i="16"/>
  <c r="M498" i="16" s="1"/>
  <c r="M432" i="16"/>
  <c r="N435" i="16"/>
  <c r="M435" i="16"/>
  <c r="L435" i="16"/>
  <c r="K435" i="16"/>
  <c r="J435" i="16"/>
  <c r="I435" i="16"/>
  <c r="H435" i="16"/>
  <c r="G435" i="16"/>
  <c r="F435" i="16"/>
  <c r="E435" i="16"/>
  <c r="D435" i="16"/>
  <c r="C435" i="16"/>
  <c r="C509" i="16" s="1"/>
  <c r="N454" i="16"/>
  <c r="M454" i="16"/>
  <c r="L454" i="16"/>
  <c r="K454" i="16"/>
  <c r="J454" i="16"/>
  <c r="I454" i="16"/>
  <c r="H454" i="16"/>
  <c r="G454" i="16"/>
  <c r="F454" i="16"/>
  <c r="E454" i="16"/>
  <c r="D454" i="16"/>
  <c r="N415" i="16"/>
  <c r="L415" i="16"/>
  <c r="K415" i="16"/>
  <c r="J415" i="16"/>
  <c r="I415" i="16"/>
  <c r="H415" i="16"/>
  <c r="F415" i="16"/>
  <c r="E415" i="16"/>
  <c r="D415" i="16"/>
  <c r="N416" i="16"/>
  <c r="L416" i="16"/>
  <c r="K416" i="16"/>
  <c r="J416" i="16"/>
  <c r="I416" i="16"/>
  <c r="H416" i="16"/>
  <c r="F416" i="16"/>
  <c r="E416" i="16"/>
  <c r="D416" i="16"/>
  <c r="M393" i="16"/>
  <c r="M449" i="16"/>
  <c r="M502" i="16" s="1"/>
  <c r="L449" i="16"/>
  <c r="L502" i="16" s="1"/>
  <c r="K449" i="16"/>
  <c r="K502" i="16" s="1"/>
  <c r="J449" i="16"/>
  <c r="J502" i="16" s="1"/>
  <c r="I449" i="16"/>
  <c r="H449" i="16"/>
  <c r="G449" i="16"/>
  <c r="G502" i="16" s="1"/>
  <c r="F449" i="16"/>
  <c r="E449" i="16"/>
  <c r="E502" i="16" s="1"/>
  <c r="M392" i="16"/>
  <c r="K392" i="16"/>
  <c r="J392" i="16"/>
  <c r="I392" i="16"/>
  <c r="H392" i="16"/>
  <c r="G392" i="16"/>
  <c r="F392" i="16"/>
  <c r="E392" i="16"/>
  <c r="L393" i="16"/>
  <c r="K393" i="16"/>
  <c r="J393" i="16"/>
  <c r="I393" i="16"/>
  <c r="H393" i="16"/>
  <c r="G393" i="16"/>
  <c r="F393" i="16"/>
  <c r="E393" i="16"/>
  <c r="M367" i="16"/>
  <c r="N447" i="16"/>
  <c r="M447" i="16"/>
  <c r="M501" i="16" s="1"/>
  <c r="L447" i="16"/>
  <c r="L501" i="16" s="1"/>
  <c r="K447" i="16"/>
  <c r="K501" i="16" s="1"/>
  <c r="J447" i="16"/>
  <c r="I447" i="16"/>
  <c r="H447" i="16"/>
  <c r="H501" i="16" s="1"/>
  <c r="G447" i="16"/>
  <c r="G501" i="16" s="1"/>
  <c r="F447" i="16"/>
  <c r="E447" i="16"/>
  <c r="E501" i="16" s="1"/>
  <c r="D447" i="16"/>
  <c r="D501" i="16" s="1"/>
  <c r="N367" i="16"/>
  <c r="L367" i="16"/>
  <c r="K367" i="16"/>
  <c r="J367" i="16"/>
  <c r="I367" i="16"/>
  <c r="H367" i="16"/>
  <c r="G367" i="16"/>
  <c r="F367" i="16"/>
  <c r="E367" i="16"/>
  <c r="D367" i="16"/>
  <c r="N368" i="16"/>
  <c r="L368" i="16"/>
  <c r="K368" i="16"/>
  <c r="J368" i="16"/>
  <c r="I368" i="16"/>
  <c r="H368" i="16"/>
  <c r="G368" i="16"/>
  <c r="F368" i="16"/>
  <c r="D368" i="16"/>
  <c r="N441" i="16"/>
  <c r="N498" i="16" s="1"/>
  <c r="L441" i="16"/>
  <c r="L498" i="16" s="1"/>
  <c r="K441" i="16"/>
  <c r="K498" i="16" s="1"/>
  <c r="J441" i="16"/>
  <c r="J498" i="16" s="1"/>
  <c r="I441" i="16"/>
  <c r="I498" i="16" s="1"/>
  <c r="H441" i="16"/>
  <c r="H498" i="16" s="1"/>
  <c r="G441" i="16"/>
  <c r="G498" i="16" s="1"/>
  <c r="F441" i="16"/>
  <c r="F498" i="16" s="1"/>
  <c r="E441" i="16"/>
  <c r="E498" i="16" s="1"/>
  <c r="D441" i="16"/>
  <c r="D498" i="16" s="1"/>
  <c r="N344" i="16"/>
  <c r="K344" i="16"/>
  <c r="J344" i="16"/>
  <c r="I344" i="16"/>
  <c r="H344" i="16"/>
  <c r="G344" i="16"/>
  <c r="E344" i="16"/>
  <c r="D344" i="16"/>
  <c r="N345" i="16"/>
  <c r="K345" i="16"/>
  <c r="J345" i="16"/>
  <c r="I345" i="16"/>
  <c r="H345" i="16"/>
  <c r="G345" i="16"/>
  <c r="E345" i="16"/>
  <c r="D345" i="16"/>
  <c r="M325" i="16"/>
  <c r="N440" i="16"/>
  <c r="N497" i="16" s="1"/>
  <c r="M440" i="16"/>
  <c r="M497" i="16" s="1"/>
  <c r="L440" i="16"/>
  <c r="L497" i="16" s="1"/>
  <c r="K440" i="16"/>
  <c r="K497" i="16" s="1"/>
  <c r="J440" i="16"/>
  <c r="J497" i="16" s="1"/>
  <c r="I440" i="16"/>
  <c r="I497" i="16" s="1"/>
  <c r="H440" i="16"/>
  <c r="H497" i="16" s="1"/>
  <c r="G440" i="16"/>
  <c r="G497" i="16" s="1"/>
  <c r="F440" i="16"/>
  <c r="F497" i="16" s="1"/>
  <c r="E440" i="16"/>
  <c r="E497" i="16" s="1"/>
  <c r="D440" i="16"/>
  <c r="D497" i="16" s="1"/>
  <c r="N324" i="16"/>
  <c r="M324" i="16"/>
  <c r="L324" i="16"/>
  <c r="K324" i="16"/>
  <c r="J324" i="16"/>
  <c r="I324" i="16"/>
  <c r="H324" i="16"/>
  <c r="G324" i="16"/>
  <c r="F324" i="16"/>
  <c r="E324" i="16"/>
  <c r="D324" i="16"/>
  <c r="N325" i="16"/>
  <c r="L325" i="16"/>
  <c r="K325" i="16"/>
  <c r="J325" i="16"/>
  <c r="I325" i="16"/>
  <c r="H325" i="16"/>
  <c r="G325" i="16"/>
  <c r="F325" i="16"/>
  <c r="E325" i="16"/>
  <c r="D325" i="16"/>
  <c r="M305" i="16"/>
  <c r="N438" i="16"/>
  <c r="N496" i="16" s="1"/>
  <c r="M438" i="16"/>
  <c r="M496" i="16" s="1"/>
  <c r="L438" i="16"/>
  <c r="L496" i="16" s="1"/>
  <c r="K438" i="16"/>
  <c r="K496" i="16" s="1"/>
  <c r="J438" i="16"/>
  <c r="J496" i="16" s="1"/>
  <c r="I438" i="16"/>
  <c r="I496" i="16" s="1"/>
  <c r="H438" i="16"/>
  <c r="H496" i="16" s="1"/>
  <c r="G438" i="16"/>
  <c r="G496" i="16" s="1"/>
  <c r="F438" i="16"/>
  <c r="F496" i="16" s="1"/>
  <c r="E438" i="16"/>
  <c r="E496" i="16" s="1"/>
  <c r="D438" i="16"/>
  <c r="D496" i="16" s="1"/>
  <c r="N304" i="16"/>
  <c r="L304" i="16"/>
  <c r="K304" i="16"/>
  <c r="J304" i="16"/>
  <c r="I304" i="16"/>
  <c r="H304" i="16"/>
  <c r="G304" i="16"/>
  <c r="F304" i="16"/>
  <c r="E304" i="16"/>
  <c r="D304" i="16"/>
  <c r="C304" i="16"/>
  <c r="N305" i="16"/>
  <c r="L305" i="16"/>
  <c r="K305" i="16"/>
  <c r="J305" i="16"/>
  <c r="I305" i="16"/>
  <c r="H305" i="16"/>
  <c r="F305" i="16"/>
  <c r="E305" i="16"/>
  <c r="D305" i="16"/>
  <c r="J437" i="16"/>
  <c r="I437" i="16"/>
  <c r="H437" i="16"/>
  <c r="G437" i="16"/>
  <c r="F437" i="16"/>
  <c r="D437" i="16"/>
  <c r="J284" i="16"/>
  <c r="I284" i="16"/>
  <c r="H284" i="16"/>
  <c r="G284" i="16"/>
  <c r="F284" i="16"/>
  <c r="D284" i="16"/>
  <c r="J285" i="16"/>
  <c r="I285" i="16"/>
  <c r="H285" i="16"/>
  <c r="G285" i="16"/>
  <c r="F285" i="16"/>
  <c r="D285" i="16"/>
  <c r="M265" i="16"/>
  <c r="J436" i="16"/>
  <c r="I436" i="16"/>
  <c r="D436" i="16"/>
  <c r="C436" i="16"/>
  <c r="J264" i="16"/>
  <c r="I264" i="16"/>
  <c r="D264" i="16"/>
  <c r="C264" i="16"/>
  <c r="J265" i="16"/>
  <c r="I265" i="16"/>
  <c r="H265" i="16"/>
  <c r="D265" i="16"/>
  <c r="C265" i="16"/>
  <c r="M245" i="16"/>
  <c r="M244" i="16"/>
  <c r="N434" i="16"/>
  <c r="N494" i="16" s="1"/>
  <c r="M434" i="16"/>
  <c r="M494" i="16" s="1"/>
  <c r="L434" i="16"/>
  <c r="L494" i="16" s="1"/>
  <c r="K434" i="16"/>
  <c r="K494" i="16" s="1"/>
  <c r="J434" i="16"/>
  <c r="J494" i="16" s="1"/>
  <c r="I434" i="16"/>
  <c r="I494" i="16" s="1"/>
  <c r="H434" i="16"/>
  <c r="H494" i="16" s="1"/>
  <c r="G434" i="16"/>
  <c r="G494" i="16" s="1"/>
  <c r="F434" i="16"/>
  <c r="F494" i="16" s="1"/>
  <c r="E434" i="16"/>
  <c r="E494" i="16" s="1"/>
  <c r="N244" i="16"/>
  <c r="L244" i="16"/>
  <c r="K244" i="16"/>
  <c r="J244" i="16"/>
  <c r="I244" i="16"/>
  <c r="H244" i="16"/>
  <c r="G244" i="16"/>
  <c r="F244" i="16"/>
  <c r="E244" i="16"/>
  <c r="N245" i="16"/>
  <c r="L245" i="16"/>
  <c r="K245" i="16"/>
  <c r="J245" i="16"/>
  <c r="I245" i="16"/>
  <c r="H245" i="16"/>
  <c r="G245" i="16"/>
  <c r="F245" i="16"/>
  <c r="E245" i="16"/>
  <c r="M225" i="16"/>
  <c r="N433" i="16"/>
  <c r="N493" i="16" s="1"/>
  <c r="M433" i="16"/>
  <c r="M493" i="16" s="1"/>
  <c r="L433" i="16"/>
  <c r="L493" i="16" s="1"/>
  <c r="K433" i="16"/>
  <c r="K493" i="16" s="1"/>
  <c r="J433" i="16"/>
  <c r="J493" i="16" s="1"/>
  <c r="I433" i="16"/>
  <c r="I493" i="16" s="1"/>
  <c r="H433" i="16"/>
  <c r="H493" i="16" s="1"/>
  <c r="G433" i="16"/>
  <c r="G493" i="16" s="1"/>
  <c r="E433" i="16"/>
  <c r="E493" i="16" s="1"/>
  <c r="N224" i="16"/>
  <c r="M224" i="16"/>
  <c r="L224" i="16"/>
  <c r="K224" i="16"/>
  <c r="J224" i="16"/>
  <c r="I224" i="16"/>
  <c r="H224" i="16"/>
  <c r="G224" i="16"/>
  <c r="E224" i="16"/>
  <c r="N225" i="16"/>
  <c r="L225" i="16"/>
  <c r="K225" i="16"/>
  <c r="J225" i="16"/>
  <c r="I225" i="16"/>
  <c r="H225" i="16"/>
  <c r="G225" i="16"/>
  <c r="E225" i="16"/>
  <c r="D225" i="16"/>
  <c r="M205" i="16"/>
  <c r="N432" i="16"/>
  <c r="L432" i="16"/>
  <c r="K432" i="16"/>
  <c r="J432" i="16"/>
  <c r="I432" i="16"/>
  <c r="H432" i="16"/>
  <c r="G432" i="16"/>
  <c r="F432" i="16"/>
  <c r="E432" i="16"/>
  <c r="D432" i="16"/>
  <c r="N455" i="16"/>
  <c r="M455" i="16"/>
  <c r="L455" i="16"/>
  <c r="K455" i="16"/>
  <c r="J455" i="16"/>
  <c r="I455" i="16"/>
  <c r="H455" i="16"/>
  <c r="G455" i="16"/>
  <c r="F455" i="16"/>
  <c r="E455" i="16"/>
  <c r="D455" i="16"/>
  <c r="N204" i="16"/>
  <c r="M204" i="16"/>
  <c r="L204" i="16"/>
  <c r="K204" i="16"/>
  <c r="J204" i="16"/>
  <c r="I204" i="16"/>
  <c r="H204" i="16"/>
  <c r="G204" i="16"/>
  <c r="F204" i="16"/>
  <c r="E204" i="16"/>
  <c r="D204" i="16"/>
  <c r="N205" i="16"/>
  <c r="L205" i="16"/>
  <c r="K205" i="16"/>
  <c r="J205" i="16"/>
  <c r="I205" i="16"/>
  <c r="H205" i="16"/>
  <c r="G205" i="16"/>
  <c r="F205" i="16"/>
  <c r="E205" i="16"/>
  <c r="D205" i="16"/>
  <c r="M184" i="16"/>
  <c r="M183" i="16"/>
  <c r="N431" i="16"/>
  <c r="N491" i="16" s="1"/>
  <c r="M431" i="16"/>
  <c r="M491" i="16" s="1"/>
  <c r="L431" i="16"/>
  <c r="L491" i="16" s="1"/>
  <c r="K431" i="16"/>
  <c r="K491" i="16" s="1"/>
  <c r="J431" i="16"/>
  <c r="J491" i="16" s="1"/>
  <c r="I431" i="16"/>
  <c r="I491" i="16" s="1"/>
  <c r="H431" i="16"/>
  <c r="H491" i="16" s="1"/>
  <c r="G431" i="16"/>
  <c r="G491" i="16" s="1"/>
  <c r="F431" i="16"/>
  <c r="F491" i="16" s="1"/>
  <c r="C431" i="16"/>
  <c r="C491" i="16" s="1"/>
  <c r="N183" i="16"/>
  <c r="L183" i="16"/>
  <c r="K183" i="16"/>
  <c r="J183" i="16"/>
  <c r="I183" i="16"/>
  <c r="H183" i="16"/>
  <c r="G183" i="16"/>
  <c r="F183" i="16"/>
  <c r="C183" i="16"/>
  <c r="N184" i="16"/>
  <c r="L184" i="16"/>
  <c r="K184" i="16"/>
  <c r="J184" i="16"/>
  <c r="I184" i="16"/>
  <c r="H184" i="16"/>
  <c r="G184" i="16"/>
  <c r="F184" i="16"/>
  <c r="C184" i="16"/>
  <c r="M164" i="16"/>
  <c r="N430" i="16"/>
  <c r="N490" i="16" s="1"/>
  <c r="M430" i="16"/>
  <c r="M490" i="16" s="1"/>
  <c r="L430" i="16"/>
  <c r="L490" i="16" s="1"/>
  <c r="K430" i="16"/>
  <c r="K490" i="16" s="1"/>
  <c r="J430" i="16"/>
  <c r="J490" i="16" s="1"/>
  <c r="I430" i="16"/>
  <c r="I490" i="16" s="1"/>
  <c r="H430" i="16"/>
  <c r="H490" i="16" s="1"/>
  <c r="G430" i="16"/>
  <c r="G490" i="16" s="1"/>
  <c r="F430" i="16"/>
  <c r="F490" i="16" s="1"/>
  <c r="E430" i="16"/>
  <c r="E490" i="16" s="1"/>
  <c r="D430" i="16"/>
  <c r="D490" i="16" s="1"/>
  <c r="N163" i="16"/>
  <c r="M163" i="16"/>
  <c r="L163" i="16"/>
  <c r="K163" i="16"/>
  <c r="J163" i="16"/>
  <c r="I163" i="16"/>
  <c r="H163" i="16"/>
  <c r="G163" i="16"/>
  <c r="F163" i="16"/>
  <c r="E163" i="16"/>
  <c r="D163" i="16"/>
  <c r="N164" i="16"/>
  <c r="L164" i="16"/>
  <c r="K164" i="16"/>
  <c r="J164" i="16"/>
  <c r="I164" i="16"/>
  <c r="H164" i="16"/>
  <c r="G164" i="16"/>
  <c r="F164" i="16"/>
  <c r="E164" i="16"/>
  <c r="D164" i="16"/>
  <c r="M144" i="16"/>
  <c r="N429" i="16"/>
  <c r="N489" i="16" s="1"/>
  <c r="M429" i="16"/>
  <c r="M489" i="16" s="1"/>
  <c r="L429" i="16"/>
  <c r="L489" i="16" s="1"/>
  <c r="K429" i="16"/>
  <c r="K489" i="16" s="1"/>
  <c r="J429" i="16"/>
  <c r="J489" i="16" s="1"/>
  <c r="I429" i="16"/>
  <c r="I489" i="16" s="1"/>
  <c r="H429" i="16"/>
  <c r="H489" i="16" s="1"/>
  <c r="G429" i="16"/>
  <c r="G489" i="16" s="1"/>
  <c r="F429" i="16"/>
  <c r="F489" i="16" s="1"/>
  <c r="E429" i="16"/>
  <c r="E489" i="16" s="1"/>
  <c r="D429" i="16"/>
  <c r="D489" i="16" s="1"/>
  <c r="N143" i="16"/>
  <c r="M143" i="16"/>
  <c r="L143" i="16"/>
  <c r="K143" i="16"/>
  <c r="J143" i="16"/>
  <c r="I143" i="16"/>
  <c r="H143" i="16"/>
  <c r="G143" i="16"/>
  <c r="F143" i="16"/>
  <c r="E143" i="16"/>
  <c r="D143" i="16"/>
  <c r="N144" i="16"/>
  <c r="L144" i="16"/>
  <c r="K144" i="16"/>
  <c r="J144" i="16"/>
  <c r="I144" i="16"/>
  <c r="H144" i="16"/>
  <c r="G144" i="16"/>
  <c r="F144" i="16"/>
  <c r="E144" i="16"/>
  <c r="D144" i="16"/>
  <c r="M124" i="16"/>
  <c r="M123" i="16"/>
  <c r="N444" i="16"/>
  <c r="N500" i="16" s="1"/>
  <c r="M444" i="16"/>
  <c r="M500" i="16" s="1"/>
  <c r="L444" i="16"/>
  <c r="L500" i="16" s="1"/>
  <c r="K444" i="16"/>
  <c r="K500" i="16" s="1"/>
  <c r="J444" i="16"/>
  <c r="J500" i="16" s="1"/>
  <c r="I444" i="16"/>
  <c r="I500" i="16" s="1"/>
  <c r="H444" i="16"/>
  <c r="H500" i="16" s="1"/>
  <c r="G444" i="16"/>
  <c r="G500" i="16" s="1"/>
  <c r="F444" i="16"/>
  <c r="F500" i="16" s="1"/>
  <c r="E444" i="16"/>
  <c r="E500" i="16" s="1"/>
  <c r="D444" i="16"/>
  <c r="D500" i="16" s="1"/>
  <c r="N123" i="16"/>
  <c r="L123" i="16"/>
  <c r="K123" i="16"/>
  <c r="J123" i="16"/>
  <c r="I123" i="16"/>
  <c r="H123" i="16"/>
  <c r="G123" i="16"/>
  <c r="F123" i="16"/>
  <c r="E123" i="16"/>
  <c r="D123" i="16"/>
  <c r="N124" i="16"/>
  <c r="L124" i="16"/>
  <c r="K124" i="16"/>
  <c r="J124" i="16"/>
  <c r="I124" i="16"/>
  <c r="H124" i="16"/>
  <c r="G124" i="16"/>
  <c r="F124" i="16"/>
  <c r="E124" i="16"/>
  <c r="D124" i="16"/>
  <c r="N96" i="16"/>
  <c r="N92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I209" i="13"/>
  <c r="H209" i="13"/>
  <c r="G209" i="13"/>
  <c r="E200" i="13"/>
  <c r="E209" i="13"/>
  <c r="D209" i="13"/>
  <c r="C209" i="13"/>
  <c r="F201" i="13"/>
  <c r="E201" i="13"/>
  <c r="D201" i="13"/>
  <c r="C201" i="13"/>
  <c r="K142" i="13"/>
  <c r="J142" i="13"/>
  <c r="I142" i="13"/>
  <c r="H142" i="13"/>
  <c r="G142" i="13"/>
  <c r="F142" i="13"/>
  <c r="E142" i="13"/>
  <c r="D142" i="13"/>
  <c r="C142" i="13"/>
  <c r="H208" i="13"/>
  <c r="G208" i="13"/>
  <c r="J126" i="13"/>
  <c r="G207" i="13"/>
  <c r="F207" i="13"/>
  <c r="I109" i="13"/>
  <c r="H109" i="13"/>
  <c r="G109" i="13"/>
  <c r="F109" i="13"/>
  <c r="E109" i="13"/>
  <c r="D109" i="13"/>
  <c r="C109" i="13"/>
  <c r="N205" i="13"/>
  <c r="N201" i="13"/>
  <c r="N90" i="13"/>
  <c r="K90" i="13"/>
  <c r="I90" i="13"/>
  <c r="F90" i="13"/>
  <c r="E90" i="13"/>
  <c r="D90" i="13"/>
  <c r="C90" i="13"/>
  <c r="N206" i="13"/>
  <c r="I206" i="13"/>
  <c r="H206" i="13"/>
  <c r="G206" i="13"/>
  <c r="F206" i="13"/>
  <c r="E206" i="13"/>
  <c r="D206" i="13"/>
  <c r="C206" i="13"/>
  <c r="N89" i="13"/>
  <c r="H89" i="13"/>
  <c r="G89" i="13"/>
  <c r="D89" i="13"/>
  <c r="C89" i="13"/>
  <c r="F204" i="13"/>
  <c r="J74" i="13"/>
  <c r="I74" i="13"/>
  <c r="H74" i="13"/>
  <c r="G74" i="13"/>
  <c r="F74" i="13"/>
  <c r="E74" i="13"/>
  <c r="D74" i="13"/>
  <c r="C74" i="13"/>
  <c r="L199" i="13"/>
  <c r="K199" i="13"/>
  <c r="F199" i="13"/>
  <c r="E199" i="13"/>
  <c r="C199" i="13"/>
  <c r="K52" i="13"/>
  <c r="F52" i="13"/>
  <c r="E52" i="13"/>
  <c r="F208" i="13"/>
  <c r="E208" i="13"/>
  <c r="D208" i="13"/>
  <c r="C208" i="13"/>
  <c r="F205" i="13"/>
  <c r="E205" i="13"/>
  <c r="D205" i="13"/>
  <c r="C205" i="13"/>
  <c r="D199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N192" i="13"/>
  <c r="N483" i="16" s="1"/>
  <c r="M192" i="13"/>
  <c r="M483" i="16" s="1"/>
  <c r="L192" i="13"/>
  <c r="L483" i="16" s="1"/>
  <c r="K192" i="13"/>
  <c r="K483" i="16" s="1"/>
  <c r="J192" i="13"/>
  <c r="J483" i="16" s="1"/>
  <c r="I192" i="13"/>
  <c r="I483" i="16" s="1"/>
  <c r="H192" i="13"/>
  <c r="H483" i="16" s="1"/>
  <c r="G192" i="13"/>
  <c r="G483" i="16" s="1"/>
  <c r="F192" i="13"/>
  <c r="F483" i="16" s="1"/>
  <c r="E192" i="13"/>
  <c r="E483" i="16" s="1"/>
  <c r="D192" i="13"/>
  <c r="D483" i="16" s="1"/>
  <c r="C192" i="13"/>
  <c r="C483" i="16" s="1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B191" i="13"/>
  <c r="B192" i="13" s="1"/>
  <c r="B193" i="13" s="1"/>
  <c r="B194" i="13" s="1"/>
  <c r="N190" i="13"/>
  <c r="N195" i="13" s="1"/>
  <c r="M190" i="13"/>
  <c r="M195" i="13" s="1"/>
  <c r="L190" i="13"/>
  <c r="L195" i="13" s="1"/>
  <c r="K190" i="13"/>
  <c r="K195" i="13" s="1"/>
  <c r="J190" i="13"/>
  <c r="J195" i="13" s="1"/>
  <c r="I190" i="13"/>
  <c r="I195" i="13" s="1"/>
  <c r="H190" i="13"/>
  <c r="H195" i="13" s="1"/>
  <c r="G190" i="13"/>
  <c r="G195" i="13" s="1"/>
  <c r="F190" i="13"/>
  <c r="F195" i="13" s="1"/>
  <c r="E190" i="13"/>
  <c r="E195" i="13" s="1"/>
  <c r="D190" i="13"/>
  <c r="D195" i="13" s="1"/>
  <c r="C190" i="13"/>
  <c r="C195" i="13" s="1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N184" i="13"/>
  <c r="M184" i="13"/>
  <c r="L184" i="13"/>
  <c r="K184" i="13"/>
  <c r="J184" i="13"/>
  <c r="I184" i="13"/>
  <c r="H184" i="13"/>
  <c r="G184" i="13"/>
  <c r="F184" i="13"/>
  <c r="E184" i="13"/>
  <c r="D184" i="13"/>
  <c r="C184" i="13"/>
  <c r="N183" i="13"/>
  <c r="N186" i="13" s="1"/>
  <c r="N177" i="13" s="1"/>
  <c r="M183" i="13"/>
  <c r="M186" i="13" s="1"/>
  <c r="M177" i="13" s="1"/>
  <c r="L183" i="13"/>
  <c r="L186" i="13" s="1"/>
  <c r="L177" i="13" s="1"/>
  <c r="K183" i="13"/>
  <c r="K186" i="13" s="1"/>
  <c r="K177" i="13" s="1"/>
  <c r="J183" i="13"/>
  <c r="J186" i="13" s="1"/>
  <c r="J177" i="13" s="1"/>
  <c r="I183" i="13"/>
  <c r="I186" i="13" s="1"/>
  <c r="I177" i="13" s="1"/>
  <c r="H183" i="13"/>
  <c r="H186" i="13" s="1"/>
  <c r="H177" i="13" s="1"/>
  <c r="G183" i="13"/>
  <c r="G186" i="13" s="1"/>
  <c r="G177" i="13" s="1"/>
  <c r="F183" i="13"/>
  <c r="F186" i="13" s="1"/>
  <c r="F177" i="13" s="1"/>
  <c r="E183" i="13"/>
  <c r="D183" i="13"/>
  <c r="D186" i="13" s="1"/>
  <c r="D177" i="13" s="1"/>
  <c r="C183" i="13"/>
  <c r="C186" i="13" s="1"/>
  <c r="C177" i="13" s="1"/>
  <c r="N209" i="13"/>
  <c r="M209" i="13"/>
  <c r="L209" i="13"/>
  <c r="K209" i="13"/>
  <c r="J209" i="13"/>
  <c r="N142" i="13"/>
  <c r="M142" i="13"/>
  <c r="L142" i="13"/>
  <c r="K126" i="13"/>
  <c r="N208" i="13"/>
  <c r="M208" i="13"/>
  <c r="L208" i="13"/>
  <c r="K208" i="13"/>
  <c r="J208" i="13"/>
  <c r="I208" i="13"/>
  <c r="N126" i="13"/>
  <c r="M126" i="13"/>
  <c r="L126" i="13"/>
  <c r="I126" i="13"/>
  <c r="H126" i="13"/>
  <c r="G126" i="13"/>
  <c r="F126" i="13"/>
  <c r="E126" i="13"/>
  <c r="D126" i="13"/>
  <c r="C126" i="13"/>
  <c r="J109" i="13"/>
  <c r="N207" i="13"/>
  <c r="M207" i="13"/>
  <c r="L207" i="13"/>
  <c r="K207" i="13"/>
  <c r="J207" i="13"/>
  <c r="I207" i="13"/>
  <c r="H207" i="13"/>
  <c r="N109" i="13"/>
  <c r="M109" i="13"/>
  <c r="L109" i="13"/>
  <c r="K109" i="13"/>
  <c r="H90" i="13"/>
  <c r="G90" i="13"/>
  <c r="M205" i="13"/>
  <c r="L205" i="13"/>
  <c r="K205" i="13"/>
  <c r="J205" i="13"/>
  <c r="I205" i="13"/>
  <c r="H205" i="13"/>
  <c r="G205" i="13"/>
  <c r="M90" i="13"/>
  <c r="L90" i="13"/>
  <c r="J90" i="13"/>
  <c r="M206" i="13"/>
  <c r="L206" i="13"/>
  <c r="K206" i="13"/>
  <c r="J206" i="13"/>
  <c r="M89" i="13"/>
  <c r="L89" i="13"/>
  <c r="K89" i="13"/>
  <c r="J89" i="13"/>
  <c r="I89" i="13"/>
  <c r="F89" i="13"/>
  <c r="E89" i="13"/>
  <c r="K74" i="13"/>
  <c r="N204" i="13"/>
  <c r="M204" i="13"/>
  <c r="L204" i="13"/>
  <c r="M201" i="13"/>
  <c r="L201" i="13"/>
  <c r="N74" i="13"/>
  <c r="M74" i="13"/>
  <c r="L74" i="13"/>
  <c r="N199" i="13"/>
  <c r="M199" i="13"/>
  <c r="J199" i="13"/>
  <c r="I199" i="13"/>
  <c r="H199" i="13"/>
  <c r="G199" i="13"/>
  <c r="D52" i="13"/>
  <c r="C52" i="13"/>
  <c r="D368" i="3"/>
  <c r="E368" i="3"/>
  <c r="F368" i="3"/>
  <c r="G368" i="3"/>
  <c r="H368" i="3"/>
  <c r="I368" i="3"/>
  <c r="J368" i="3"/>
  <c r="K368" i="3"/>
  <c r="L368" i="3"/>
  <c r="M368" i="3"/>
  <c r="N368" i="3"/>
  <c r="C368" i="3"/>
  <c r="D363" i="3"/>
  <c r="E363" i="3"/>
  <c r="F363" i="3"/>
  <c r="G363" i="3"/>
  <c r="H363" i="3"/>
  <c r="I363" i="3"/>
  <c r="J363" i="3"/>
  <c r="K363" i="3"/>
  <c r="L363" i="3"/>
  <c r="M363" i="3"/>
  <c r="N363" i="3"/>
  <c r="C363" i="3"/>
  <c r="D334" i="3"/>
  <c r="E334" i="3"/>
  <c r="F334" i="3"/>
  <c r="G334" i="3"/>
  <c r="H334" i="3"/>
  <c r="I334" i="3"/>
  <c r="J334" i="3"/>
  <c r="K334" i="3"/>
  <c r="L334" i="3"/>
  <c r="M334" i="3"/>
  <c r="N334" i="3"/>
  <c r="C334" i="3"/>
  <c r="D357" i="3"/>
  <c r="E357" i="3"/>
  <c r="F357" i="3"/>
  <c r="G357" i="3"/>
  <c r="H357" i="3"/>
  <c r="I357" i="3"/>
  <c r="J357" i="3"/>
  <c r="K357" i="3"/>
  <c r="L357" i="3"/>
  <c r="M357" i="3"/>
  <c r="N357" i="3"/>
  <c r="C357" i="3"/>
  <c r="N352" i="3"/>
  <c r="N364" i="3" s="1"/>
  <c r="N351" i="3"/>
  <c r="D350" i="3"/>
  <c r="E350" i="3"/>
  <c r="F350" i="3"/>
  <c r="G350" i="3"/>
  <c r="H350" i="3"/>
  <c r="I350" i="3"/>
  <c r="J350" i="3"/>
  <c r="K350" i="3"/>
  <c r="L350" i="3"/>
  <c r="M350" i="3"/>
  <c r="N350" i="3"/>
  <c r="C350" i="3"/>
  <c r="D348" i="3"/>
  <c r="E348" i="3"/>
  <c r="F348" i="3"/>
  <c r="G348" i="3"/>
  <c r="H348" i="3"/>
  <c r="I348" i="3"/>
  <c r="J348" i="3"/>
  <c r="K348" i="3"/>
  <c r="L348" i="3"/>
  <c r="M348" i="3"/>
  <c r="N348" i="3"/>
  <c r="C348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D345" i="3"/>
  <c r="E345" i="3"/>
  <c r="F345" i="3"/>
  <c r="G345" i="3"/>
  <c r="H345" i="3"/>
  <c r="I345" i="3"/>
  <c r="J345" i="3"/>
  <c r="K345" i="3"/>
  <c r="L345" i="3"/>
  <c r="M345" i="3"/>
  <c r="N345" i="3"/>
  <c r="C345" i="3"/>
  <c r="N344" i="3"/>
  <c r="N362" i="3" s="1"/>
  <c r="D344" i="3"/>
  <c r="D362" i="3" s="1"/>
  <c r="E344" i="3"/>
  <c r="E362" i="3" s="1"/>
  <c r="F344" i="3"/>
  <c r="F362" i="3" s="1"/>
  <c r="G344" i="3"/>
  <c r="G362" i="3" s="1"/>
  <c r="H344" i="3"/>
  <c r="H362" i="3" s="1"/>
  <c r="I344" i="3"/>
  <c r="I362" i="3" s="1"/>
  <c r="J344" i="3"/>
  <c r="J362" i="3" s="1"/>
  <c r="K344" i="3"/>
  <c r="K362" i="3" s="1"/>
  <c r="L344" i="3"/>
  <c r="L362" i="3" s="1"/>
  <c r="M344" i="3"/>
  <c r="M362" i="3" s="1"/>
  <c r="C344" i="3"/>
  <c r="C362" i="3" s="1"/>
  <c r="D343" i="3"/>
  <c r="D361" i="3" s="1"/>
  <c r="E343" i="3"/>
  <c r="E361" i="3" s="1"/>
  <c r="F343" i="3"/>
  <c r="F361" i="3" s="1"/>
  <c r="G343" i="3"/>
  <c r="G361" i="3" s="1"/>
  <c r="H343" i="3"/>
  <c r="H361" i="3" s="1"/>
  <c r="I343" i="3"/>
  <c r="I361" i="3" s="1"/>
  <c r="J343" i="3"/>
  <c r="J361" i="3" s="1"/>
  <c r="K343" i="3"/>
  <c r="K361" i="3" s="1"/>
  <c r="L343" i="3"/>
  <c r="L361" i="3" s="1"/>
  <c r="M343" i="3"/>
  <c r="M361" i="3" s="1"/>
  <c r="N343" i="3"/>
  <c r="N361" i="3" s="1"/>
  <c r="C343" i="3"/>
  <c r="C361" i="3" s="1"/>
  <c r="N260" i="3"/>
  <c r="D259" i="3"/>
  <c r="D260" i="3" s="1"/>
  <c r="E259" i="3"/>
  <c r="E260" i="3" s="1"/>
  <c r="F259" i="3"/>
  <c r="F260" i="3" s="1"/>
  <c r="G259" i="3"/>
  <c r="G260" i="3" s="1"/>
  <c r="H259" i="3"/>
  <c r="H260" i="3" s="1"/>
  <c r="I259" i="3"/>
  <c r="I260" i="3" s="1"/>
  <c r="J259" i="3"/>
  <c r="J260" i="3" s="1"/>
  <c r="K259" i="3"/>
  <c r="K260" i="3" s="1"/>
  <c r="L259" i="3"/>
  <c r="L260" i="3" s="1"/>
  <c r="M259" i="3"/>
  <c r="M260" i="3" s="1"/>
  <c r="C259" i="3"/>
  <c r="C260" i="3" s="1"/>
  <c r="N250" i="3"/>
  <c r="D249" i="3"/>
  <c r="D250" i="3" s="1"/>
  <c r="E249" i="3"/>
  <c r="E250" i="3" s="1"/>
  <c r="F249" i="3"/>
  <c r="F250" i="3" s="1"/>
  <c r="G249" i="3"/>
  <c r="G250" i="3" s="1"/>
  <c r="H249" i="3"/>
  <c r="H250" i="3" s="1"/>
  <c r="I249" i="3"/>
  <c r="I250" i="3" s="1"/>
  <c r="J249" i="3"/>
  <c r="J250" i="3" s="1"/>
  <c r="K249" i="3"/>
  <c r="K250" i="3" s="1"/>
  <c r="L249" i="3"/>
  <c r="L250" i="3" s="1"/>
  <c r="M249" i="3"/>
  <c r="M250" i="3" s="1"/>
  <c r="C249" i="3"/>
  <c r="C250" i="3" s="1"/>
  <c r="N240" i="3"/>
  <c r="D239" i="3"/>
  <c r="D240" i="3" s="1"/>
  <c r="E239" i="3"/>
  <c r="E240" i="3" s="1"/>
  <c r="F239" i="3"/>
  <c r="F240" i="3" s="1"/>
  <c r="G239" i="3"/>
  <c r="G240" i="3" s="1"/>
  <c r="H239" i="3"/>
  <c r="H240" i="3" s="1"/>
  <c r="I239" i="3"/>
  <c r="I240" i="3" s="1"/>
  <c r="J239" i="3"/>
  <c r="J240" i="3" s="1"/>
  <c r="K239" i="3"/>
  <c r="K240" i="3" s="1"/>
  <c r="L239" i="3"/>
  <c r="L240" i="3" s="1"/>
  <c r="M239" i="3"/>
  <c r="M240" i="3" s="1"/>
  <c r="C239" i="3"/>
  <c r="C240" i="3" s="1"/>
  <c r="D226" i="3"/>
  <c r="E226" i="3"/>
  <c r="F226" i="3"/>
  <c r="G226" i="3"/>
  <c r="H226" i="3"/>
  <c r="I226" i="3"/>
  <c r="J226" i="3"/>
  <c r="K226" i="3"/>
  <c r="L226" i="3"/>
  <c r="M226" i="3"/>
  <c r="N226" i="3"/>
  <c r="D227" i="3"/>
  <c r="E227" i="3"/>
  <c r="F227" i="3"/>
  <c r="G227" i="3"/>
  <c r="H227" i="3"/>
  <c r="I227" i="3"/>
  <c r="J227" i="3"/>
  <c r="K227" i="3"/>
  <c r="L227" i="3"/>
  <c r="M227" i="3"/>
  <c r="N227" i="3"/>
  <c r="C227" i="3"/>
  <c r="C226" i="3"/>
  <c r="D222" i="3"/>
  <c r="D224" i="3" s="1"/>
  <c r="E222" i="3"/>
  <c r="E224" i="3" s="1"/>
  <c r="F222" i="3"/>
  <c r="F224" i="3" s="1"/>
  <c r="G222" i="3"/>
  <c r="G223" i="3" s="1"/>
  <c r="H222" i="3"/>
  <c r="H224" i="3" s="1"/>
  <c r="I222" i="3"/>
  <c r="I223" i="3" s="1"/>
  <c r="J222" i="3"/>
  <c r="J224" i="3" s="1"/>
  <c r="K222" i="3"/>
  <c r="K224" i="3" s="1"/>
  <c r="L222" i="3"/>
  <c r="L224" i="3" s="1"/>
  <c r="M222" i="3"/>
  <c r="M223" i="3" s="1"/>
  <c r="N222" i="3"/>
  <c r="N224" i="3" s="1"/>
  <c r="C222" i="3"/>
  <c r="C223" i="3" s="1"/>
  <c r="S13" i="10" l="1"/>
  <c r="D189" i="10"/>
  <c r="E218" i="13"/>
  <c r="C504" i="16"/>
  <c r="F504" i="16"/>
  <c r="I504" i="16"/>
  <c r="J504" i="16"/>
  <c r="C502" i="16"/>
  <c r="D502" i="16"/>
  <c r="D360" i="18"/>
  <c r="T8" i="10"/>
  <c r="T6" i="10"/>
  <c r="T11" i="10"/>
  <c r="T10" i="10"/>
  <c r="T22" i="10"/>
  <c r="S85" i="10"/>
  <c r="S72" i="10" s="1"/>
  <c r="T77" i="10"/>
  <c r="T73" i="10"/>
  <c r="S71" i="10"/>
  <c r="S70" i="10"/>
  <c r="S69" i="10"/>
  <c r="S68" i="10"/>
  <c r="S67" i="10"/>
  <c r="S66" i="10"/>
  <c r="S65" i="10"/>
  <c r="S64" i="10"/>
  <c r="F218" i="13"/>
  <c r="I501" i="16"/>
  <c r="F502" i="16"/>
  <c r="K504" i="16"/>
  <c r="N502" i="16"/>
  <c r="J501" i="16"/>
  <c r="L504" i="16"/>
  <c r="H502" i="16"/>
  <c r="M504" i="16"/>
  <c r="C501" i="16"/>
  <c r="I502" i="16"/>
  <c r="N504" i="16"/>
  <c r="N501" i="16"/>
  <c r="D504" i="16"/>
  <c r="E186" i="13"/>
  <c r="E177" i="13" s="1"/>
  <c r="E504" i="16"/>
  <c r="C218" i="13"/>
  <c r="G504" i="16"/>
  <c r="D12" i="18"/>
  <c r="D218" i="13"/>
  <c r="F501" i="16"/>
  <c r="H504" i="16"/>
  <c r="E220" i="13"/>
  <c r="E222" i="13" s="1"/>
  <c r="C352" i="18"/>
  <c r="C364" i="18" s="1"/>
  <c r="C342" i="18"/>
  <c r="C360" i="18" s="1"/>
  <c r="K347" i="18"/>
  <c r="J346" i="18"/>
  <c r="I224" i="18"/>
  <c r="G223" i="18"/>
  <c r="H344" i="18"/>
  <c r="H362" i="18" s="1"/>
  <c r="J224" i="18"/>
  <c r="C327" i="18"/>
  <c r="C328" i="18" s="1"/>
  <c r="C317" i="18" s="1"/>
  <c r="C184" i="18"/>
  <c r="I367" i="18"/>
  <c r="I366" i="18"/>
  <c r="I365" i="18"/>
  <c r="J367" i="18"/>
  <c r="J366" i="18"/>
  <c r="J365" i="18"/>
  <c r="H367" i="18"/>
  <c r="H366" i="18"/>
  <c r="H365" i="18"/>
  <c r="K367" i="18"/>
  <c r="K366" i="18"/>
  <c r="K365" i="18"/>
  <c r="L367" i="18"/>
  <c r="L366" i="18"/>
  <c r="L365" i="18"/>
  <c r="M367" i="18"/>
  <c r="M366" i="18"/>
  <c r="M365" i="18"/>
  <c r="N367" i="18"/>
  <c r="N366" i="18"/>
  <c r="N365" i="18"/>
  <c r="N360" i="18"/>
  <c r="N353" i="18"/>
  <c r="N318" i="18" s="1"/>
  <c r="E367" i="18"/>
  <c r="E366" i="18"/>
  <c r="E365" i="18"/>
  <c r="F367" i="18"/>
  <c r="F366" i="18"/>
  <c r="F365" i="18"/>
  <c r="G367" i="18"/>
  <c r="G366" i="18"/>
  <c r="G365" i="18"/>
  <c r="C365" i="18"/>
  <c r="C366" i="18"/>
  <c r="D209" i="18"/>
  <c r="N223" i="18"/>
  <c r="E192" i="18"/>
  <c r="C224" i="18"/>
  <c r="D323" i="18"/>
  <c r="F12" i="18"/>
  <c r="F184" i="18"/>
  <c r="F192" i="18"/>
  <c r="F209" i="18"/>
  <c r="E323" i="18"/>
  <c r="E325" i="18"/>
  <c r="E342" i="18"/>
  <c r="E345" i="18"/>
  <c r="D324" i="18"/>
  <c r="D338" i="18"/>
  <c r="D353" i="18" s="1"/>
  <c r="D318" i="18" s="1"/>
  <c r="G12" i="18"/>
  <c r="G184" i="18"/>
  <c r="G192" i="18"/>
  <c r="G209" i="18"/>
  <c r="F323" i="18"/>
  <c r="F327" i="18" s="1"/>
  <c r="F328" i="18" s="1"/>
  <c r="F317" i="18" s="1"/>
  <c r="F342" i="18"/>
  <c r="F345" i="18"/>
  <c r="H12" i="18"/>
  <c r="H184" i="18"/>
  <c r="H192" i="18"/>
  <c r="H209" i="18"/>
  <c r="G323" i="18"/>
  <c r="G327" i="18" s="1"/>
  <c r="G328" i="18" s="1"/>
  <c r="G317" i="18" s="1"/>
  <c r="G342" i="18"/>
  <c r="G346" i="18"/>
  <c r="I12" i="18"/>
  <c r="I184" i="18"/>
  <c r="I192" i="18"/>
  <c r="I209" i="18"/>
  <c r="H323" i="18"/>
  <c r="H327" i="18" s="1"/>
  <c r="H328" i="18" s="1"/>
  <c r="H317" i="18" s="1"/>
  <c r="H342" i="18"/>
  <c r="H345" i="18"/>
  <c r="J192" i="18"/>
  <c r="J209" i="18"/>
  <c r="I323" i="18"/>
  <c r="I327" i="18" s="1"/>
  <c r="I328" i="18" s="1"/>
  <c r="I317" i="18" s="1"/>
  <c r="I342" i="18"/>
  <c r="I345" i="18"/>
  <c r="E20" i="18"/>
  <c r="J12" i="18"/>
  <c r="J184" i="18"/>
  <c r="K12" i="18"/>
  <c r="K184" i="18"/>
  <c r="K192" i="18"/>
  <c r="K209" i="18"/>
  <c r="J323" i="18"/>
  <c r="J327" i="18" s="1"/>
  <c r="J328" i="18" s="1"/>
  <c r="J317" i="18" s="1"/>
  <c r="J342" i="18"/>
  <c r="J345" i="18"/>
  <c r="L12" i="18"/>
  <c r="L184" i="18"/>
  <c r="L192" i="18"/>
  <c r="L209" i="18"/>
  <c r="K323" i="18"/>
  <c r="K327" i="18" s="1"/>
  <c r="K328" i="18" s="1"/>
  <c r="K317" i="18" s="1"/>
  <c r="K342" i="18"/>
  <c r="K345" i="18"/>
  <c r="M12" i="18"/>
  <c r="M184" i="18"/>
  <c r="M192" i="18"/>
  <c r="M209" i="18"/>
  <c r="L323" i="18"/>
  <c r="L327" i="18" s="1"/>
  <c r="L328" i="18" s="1"/>
  <c r="L317" i="18" s="1"/>
  <c r="L342" i="18"/>
  <c r="L345" i="18"/>
  <c r="N12" i="18"/>
  <c r="N184" i="18"/>
  <c r="N192" i="18"/>
  <c r="N209" i="18"/>
  <c r="M323" i="18"/>
  <c r="M327" i="18" s="1"/>
  <c r="M328" i="18" s="1"/>
  <c r="M317" i="18" s="1"/>
  <c r="M342" i="18"/>
  <c r="M345" i="18"/>
  <c r="N224" i="18"/>
  <c r="C12" i="18"/>
  <c r="N323" i="18"/>
  <c r="N327" i="18" s="1"/>
  <c r="N328" i="18" s="1"/>
  <c r="N317" i="18" s="1"/>
  <c r="C495" i="16"/>
  <c r="M509" i="16"/>
  <c r="M443" i="16"/>
  <c r="M508" i="16"/>
  <c r="M495" i="16"/>
  <c r="C482" i="16"/>
  <c r="C484" i="16" s="1"/>
  <c r="C425" i="16" s="1"/>
  <c r="C477" i="16"/>
  <c r="C424" i="16" s="1"/>
  <c r="G510" i="16"/>
  <c r="G492" i="16"/>
  <c r="K509" i="16"/>
  <c r="K443" i="16"/>
  <c r="H482" i="16"/>
  <c r="H484" i="16" s="1"/>
  <c r="H425" i="16" s="1"/>
  <c r="H477" i="16"/>
  <c r="H424" i="16" s="1"/>
  <c r="H510" i="16"/>
  <c r="H492" i="16"/>
  <c r="N508" i="16"/>
  <c r="N495" i="16"/>
  <c r="L509" i="16"/>
  <c r="L443" i="16"/>
  <c r="M510" i="16"/>
  <c r="M492" i="16"/>
  <c r="I482" i="16"/>
  <c r="I484" i="16" s="1"/>
  <c r="I425" i="16" s="1"/>
  <c r="I477" i="16"/>
  <c r="I424" i="16" s="1"/>
  <c r="I510" i="16"/>
  <c r="I492" i="16"/>
  <c r="J482" i="16"/>
  <c r="J484" i="16" s="1"/>
  <c r="J425" i="16" s="1"/>
  <c r="J477" i="16"/>
  <c r="J424" i="16" s="1"/>
  <c r="C492" i="16"/>
  <c r="J510" i="16"/>
  <c r="J492" i="16"/>
  <c r="D508" i="16"/>
  <c r="D495" i="16"/>
  <c r="N509" i="16"/>
  <c r="N443" i="16"/>
  <c r="K482" i="16"/>
  <c r="K484" i="16" s="1"/>
  <c r="K425" i="16" s="1"/>
  <c r="K477" i="16"/>
  <c r="K424" i="16" s="1"/>
  <c r="K510" i="16"/>
  <c r="K492" i="16"/>
  <c r="E508" i="16"/>
  <c r="E495" i="16"/>
  <c r="L482" i="16"/>
  <c r="L484" i="16" s="1"/>
  <c r="L425" i="16" s="1"/>
  <c r="L477" i="16"/>
  <c r="L424" i="16" s="1"/>
  <c r="L510" i="16"/>
  <c r="L492" i="16"/>
  <c r="F508" i="16"/>
  <c r="F495" i="16"/>
  <c r="D509" i="16"/>
  <c r="D443" i="16"/>
  <c r="M482" i="16"/>
  <c r="M484" i="16" s="1"/>
  <c r="M425" i="16" s="1"/>
  <c r="M477" i="16"/>
  <c r="M424" i="16" s="1"/>
  <c r="G508" i="16"/>
  <c r="G495" i="16"/>
  <c r="E509" i="16"/>
  <c r="E443" i="16"/>
  <c r="N482" i="16"/>
  <c r="N484" i="16" s="1"/>
  <c r="N425" i="16" s="1"/>
  <c r="N477" i="16"/>
  <c r="N424" i="16" s="1"/>
  <c r="N510" i="16"/>
  <c r="N492" i="16"/>
  <c r="H508" i="16"/>
  <c r="H495" i="16"/>
  <c r="F509" i="16"/>
  <c r="F443" i="16"/>
  <c r="I508" i="16"/>
  <c r="I495" i="16"/>
  <c r="G509" i="16"/>
  <c r="G443" i="16"/>
  <c r="D482" i="16"/>
  <c r="D484" i="16" s="1"/>
  <c r="D425" i="16" s="1"/>
  <c r="D477" i="16"/>
  <c r="D424" i="16" s="1"/>
  <c r="D510" i="16"/>
  <c r="D492" i="16"/>
  <c r="J508" i="16"/>
  <c r="J495" i="16"/>
  <c r="H509" i="16"/>
  <c r="H443" i="16"/>
  <c r="E482" i="16"/>
  <c r="E484" i="16" s="1"/>
  <c r="E425" i="16" s="1"/>
  <c r="E477" i="16"/>
  <c r="E424" i="16" s="1"/>
  <c r="E510" i="16"/>
  <c r="E492" i="16"/>
  <c r="K508" i="16"/>
  <c r="K495" i="16"/>
  <c r="I509" i="16"/>
  <c r="I443" i="16"/>
  <c r="C443" i="16"/>
  <c r="F482" i="16"/>
  <c r="F484" i="16" s="1"/>
  <c r="F425" i="16" s="1"/>
  <c r="F477" i="16"/>
  <c r="F424" i="16" s="1"/>
  <c r="C508" i="16"/>
  <c r="F510" i="16"/>
  <c r="F492" i="16"/>
  <c r="L508" i="16"/>
  <c r="L495" i="16"/>
  <c r="J509" i="16"/>
  <c r="J443" i="16"/>
  <c r="C500" i="16"/>
  <c r="G482" i="16"/>
  <c r="G484" i="16" s="1"/>
  <c r="G425" i="16" s="1"/>
  <c r="G477" i="16"/>
  <c r="G424" i="16" s="1"/>
  <c r="D200" i="13"/>
  <c r="D178" i="13" s="1"/>
  <c r="F209" i="13"/>
  <c r="C200" i="13"/>
  <c r="C207" i="13"/>
  <c r="E207" i="13"/>
  <c r="D207" i="13"/>
  <c r="C204" i="13"/>
  <c r="C210" i="13" s="1"/>
  <c r="C179" i="13" s="1"/>
  <c r="E204" i="13"/>
  <c r="E210" i="13" s="1"/>
  <c r="E179" i="13" s="1"/>
  <c r="D204" i="13"/>
  <c r="G218" i="13"/>
  <c r="H218" i="13"/>
  <c r="L218" i="13"/>
  <c r="H204" i="13"/>
  <c r="H200" i="13"/>
  <c r="J201" i="13"/>
  <c r="J204" i="13"/>
  <c r="J200" i="13"/>
  <c r="C178" i="13"/>
  <c r="K201" i="13"/>
  <c r="K204" i="13"/>
  <c r="K200" i="13"/>
  <c r="I218" i="13"/>
  <c r="K218" i="13"/>
  <c r="H201" i="13"/>
  <c r="N218" i="13"/>
  <c r="I201" i="13"/>
  <c r="I204" i="13"/>
  <c r="I200" i="13"/>
  <c r="G52" i="13"/>
  <c r="H52" i="13"/>
  <c r="I52" i="13"/>
  <c r="E178" i="13"/>
  <c r="J218" i="13"/>
  <c r="G201" i="13"/>
  <c r="G200" i="13"/>
  <c r="G204" i="13"/>
  <c r="M218" i="13"/>
  <c r="J52" i="13"/>
  <c r="F200" i="13"/>
  <c r="L52" i="13"/>
  <c r="M52" i="13"/>
  <c r="N52" i="13"/>
  <c r="L200" i="13"/>
  <c r="N200" i="13"/>
  <c r="H352" i="3"/>
  <c r="H364" i="3" s="1"/>
  <c r="H351" i="3"/>
  <c r="N342" i="3"/>
  <c r="H342" i="3"/>
  <c r="C351" i="3"/>
  <c r="I352" i="3"/>
  <c r="I364" i="3" s="1"/>
  <c r="I351" i="3"/>
  <c r="C352" i="3"/>
  <c r="C364" i="3" s="1"/>
  <c r="F342" i="3"/>
  <c r="L352" i="3"/>
  <c r="L364" i="3" s="1"/>
  <c r="K342" i="3"/>
  <c r="E342" i="3"/>
  <c r="K351" i="3"/>
  <c r="E351" i="3"/>
  <c r="K352" i="3"/>
  <c r="K364" i="3" s="1"/>
  <c r="E352" i="3"/>
  <c r="E364" i="3" s="1"/>
  <c r="L342" i="3"/>
  <c r="L351" i="3"/>
  <c r="F351" i="3"/>
  <c r="F352" i="3"/>
  <c r="F364" i="3" s="1"/>
  <c r="J342" i="3"/>
  <c r="D342" i="3"/>
  <c r="J351" i="3"/>
  <c r="D351" i="3"/>
  <c r="J352" i="3"/>
  <c r="J364" i="3" s="1"/>
  <c r="D352" i="3"/>
  <c r="D364" i="3" s="1"/>
  <c r="C342" i="3"/>
  <c r="I342" i="3"/>
  <c r="M342" i="3"/>
  <c r="G342" i="3"/>
  <c r="M351" i="3"/>
  <c r="G351" i="3"/>
  <c r="M352" i="3"/>
  <c r="M364" i="3" s="1"/>
  <c r="G352" i="3"/>
  <c r="G364" i="3" s="1"/>
  <c r="L223" i="3"/>
  <c r="H223" i="3"/>
  <c r="G224" i="3"/>
  <c r="F223" i="3"/>
  <c r="M224" i="3"/>
  <c r="N223" i="3"/>
  <c r="C224" i="3"/>
  <c r="I224" i="3"/>
  <c r="K223" i="3"/>
  <c r="E223" i="3"/>
  <c r="J223" i="3"/>
  <c r="D223" i="3"/>
  <c r="T13" i="10" l="1"/>
  <c r="U10" i="10"/>
  <c r="U22" i="10"/>
  <c r="U11" i="10"/>
  <c r="U8" i="10"/>
  <c r="U6" i="10"/>
  <c r="U7" i="10"/>
  <c r="U9" i="10"/>
  <c r="V9" i="10"/>
  <c r="V7" i="10"/>
  <c r="U73" i="10"/>
  <c r="T71" i="10"/>
  <c r="T70" i="10"/>
  <c r="T69" i="10"/>
  <c r="T68" i="10"/>
  <c r="T67" i="10"/>
  <c r="T66" i="10"/>
  <c r="T65" i="10"/>
  <c r="T64" i="10"/>
  <c r="T85" i="10"/>
  <c r="T72" i="10" s="1"/>
  <c r="U77" i="10"/>
  <c r="D210" i="13"/>
  <c r="D179" i="13" s="1"/>
  <c r="D327" i="18"/>
  <c r="D328" i="18" s="1"/>
  <c r="D317" i="18" s="1"/>
  <c r="C220" i="13"/>
  <c r="C222" i="13" s="1"/>
  <c r="D220" i="13"/>
  <c r="D222" i="13" s="1"/>
  <c r="L210" i="13"/>
  <c r="L179" i="13" s="1"/>
  <c r="M210" i="13"/>
  <c r="M179" i="13" s="1"/>
  <c r="C353" i="18"/>
  <c r="C318" i="18" s="1"/>
  <c r="E360" i="18"/>
  <c r="E353" i="18"/>
  <c r="E318" i="18" s="1"/>
  <c r="M360" i="18"/>
  <c r="M353" i="18"/>
  <c r="M318" i="18" s="1"/>
  <c r="H360" i="18"/>
  <c r="H353" i="18"/>
  <c r="H318" i="18" s="1"/>
  <c r="E327" i="18"/>
  <c r="E328" i="18" s="1"/>
  <c r="E317" i="18" s="1"/>
  <c r="K360" i="18"/>
  <c r="K353" i="18"/>
  <c r="K318" i="18" s="1"/>
  <c r="F360" i="18"/>
  <c r="F353" i="18"/>
  <c r="F318" i="18" s="1"/>
  <c r="I360" i="18"/>
  <c r="I353" i="18"/>
  <c r="I318" i="18" s="1"/>
  <c r="G360" i="18"/>
  <c r="G353" i="18"/>
  <c r="G318" i="18" s="1"/>
  <c r="L360" i="18"/>
  <c r="L353" i="18"/>
  <c r="L318" i="18" s="1"/>
  <c r="J360" i="18"/>
  <c r="J353" i="18"/>
  <c r="J318" i="18" s="1"/>
  <c r="D367" i="18"/>
  <c r="D366" i="18"/>
  <c r="D365" i="18"/>
  <c r="C499" i="16"/>
  <c r="C452" i="16"/>
  <c r="C423" i="16" s="1"/>
  <c r="C450" i="16"/>
  <c r="C503" i="16" s="1"/>
  <c r="C445" i="16"/>
  <c r="C422" i="16" s="1"/>
  <c r="K499" i="16"/>
  <c r="K452" i="16"/>
  <c r="K423" i="16" s="1"/>
  <c r="K450" i="16"/>
  <c r="K503" i="16" s="1"/>
  <c r="K445" i="16"/>
  <c r="K422" i="16" s="1"/>
  <c r="I499" i="16"/>
  <c r="I452" i="16"/>
  <c r="I423" i="16" s="1"/>
  <c r="I450" i="16"/>
  <c r="I503" i="16" s="1"/>
  <c r="I445" i="16"/>
  <c r="I422" i="16" s="1"/>
  <c r="N499" i="16"/>
  <c r="N452" i="16"/>
  <c r="N423" i="16" s="1"/>
  <c r="N450" i="16"/>
  <c r="N503" i="16" s="1"/>
  <c r="N445" i="16"/>
  <c r="N422" i="16" s="1"/>
  <c r="J499" i="16"/>
  <c r="J452" i="16"/>
  <c r="J423" i="16" s="1"/>
  <c r="J450" i="16"/>
  <c r="J503" i="16" s="1"/>
  <c r="J445" i="16"/>
  <c r="J422" i="16" s="1"/>
  <c r="L499" i="16"/>
  <c r="L452" i="16"/>
  <c r="L423" i="16" s="1"/>
  <c r="L450" i="16"/>
  <c r="L503" i="16" s="1"/>
  <c r="L445" i="16"/>
  <c r="L422" i="16" s="1"/>
  <c r="G499" i="16"/>
  <c r="G452" i="16"/>
  <c r="G423" i="16" s="1"/>
  <c r="G450" i="16"/>
  <c r="G503" i="16" s="1"/>
  <c r="G445" i="16"/>
  <c r="G422" i="16" s="1"/>
  <c r="E499" i="16"/>
  <c r="E452" i="16"/>
  <c r="E423" i="16" s="1"/>
  <c r="E450" i="16"/>
  <c r="E503" i="16" s="1"/>
  <c r="E445" i="16"/>
  <c r="E422" i="16" s="1"/>
  <c r="D499" i="16"/>
  <c r="D452" i="16"/>
  <c r="D423" i="16" s="1"/>
  <c r="D450" i="16"/>
  <c r="D503" i="16" s="1"/>
  <c r="D445" i="16"/>
  <c r="D422" i="16" s="1"/>
  <c r="M499" i="16"/>
  <c r="M452" i="16"/>
  <c r="M423" i="16" s="1"/>
  <c r="M450" i="16"/>
  <c r="M503" i="16" s="1"/>
  <c r="M445" i="16"/>
  <c r="M422" i="16" s="1"/>
  <c r="H499" i="16"/>
  <c r="H452" i="16"/>
  <c r="H423" i="16" s="1"/>
  <c r="H450" i="16"/>
  <c r="H503" i="16" s="1"/>
  <c r="H445" i="16"/>
  <c r="H422" i="16" s="1"/>
  <c r="F499" i="16"/>
  <c r="F452" i="16"/>
  <c r="F423" i="16" s="1"/>
  <c r="F450" i="16"/>
  <c r="F503" i="16" s="1"/>
  <c r="F445" i="16"/>
  <c r="F422" i="16" s="1"/>
  <c r="G210" i="13"/>
  <c r="G179" i="13" s="1"/>
  <c r="H220" i="13"/>
  <c r="H222" i="13" s="1"/>
  <c r="H178" i="13"/>
  <c r="H210" i="13"/>
  <c r="H179" i="13" s="1"/>
  <c r="K220" i="13"/>
  <c r="K222" i="13" s="1"/>
  <c r="K178" i="13"/>
  <c r="G220" i="13"/>
  <c r="G222" i="13" s="1"/>
  <c r="G178" i="13"/>
  <c r="K210" i="13"/>
  <c r="K179" i="13" s="1"/>
  <c r="M220" i="13"/>
  <c r="M222" i="13" s="1"/>
  <c r="M178" i="13"/>
  <c r="L178" i="13"/>
  <c r="L220" i="13"/>
  <c r="L222" i="13" s="1"/>
  <c r="J220" i="13"/>
  <c r="J222" i="13" s="1"/>
  <c r="J178" i="13"/>
  <c r="J210" i="13"/>
  <c r="J179" i="13" s="1"/>
  <c r="F178" i="13"/>
  <c r="F220" i="13"/>
  <c r="F222" i="13" s="1"/>
  <c r="I220" i="13"/>
  <c r="I222" i="13" s="1"/>
  <c r="I178" i="13"/>
  <c r="N220" i="13"/>
  <c r="N222" i="13" s="1"/>
  <c r="N178" i="13"/>
  <c r="I210" i="13"/>
  <c r="I179" i="13" s="1"/>
  <c r="N210" i="13"/>
  <c r="N179" i="13" s="1"/>
  <c r="F210" i="13"/>
  <c r="F179" i="13" s="1"/>
  <c r="D435" i="2"/>
  <c r="E435" i="2"/>
  <c r="E509" i="2" s="1"/>
  <c r="F435" i="2"/>
  <c r="F509" i="2" s="1"/>
  <c r="G435" i="2"/>
  <c r="G509" i="2" s="1"/>
  <c r="H435" i="2"/>
  <c r="H509" i="2" s="1"/>
  <c r="I435" i="2"/>
  <c r="I509" i="2" s="1"/>
  <c r="J435" i="2"/>
  <c r="K435" i="2"/>
  <c r="K509" i="2" s="1"/>
  <c r="L435" i="2"/>
  <c r="L509" i="2" s="1"/>
  <c r="M435" i="2"/>
  <c r="M509" i="2" s="1"/>
  <c r="N435" i="2"/>
  <c r="C435" i="2"/>
  <c r="C509" i="2"/>
  <c r="D509" i="2"/>
  <c r="J509" i="2"/>
  <c r="C467" i="2"/>
  <c r="U13" i="10" l="1"/>
  <c r="V8" i="10"/>
  <c r="V6" i="10"/>
  <c r="V11" i="10"/>
  <c r="V10" i="10"/>
  <c r="V22" i="10"/>
  <c r="U85" i="10"/>
  <c r="U72" i="10" s="1"/>
  <c r="V77" i="10"/>
  <c r="V73" i="10"/>
  <c r="U71" i="10"/>
  <c r="U70" i="10"/>
  <c r="U69" i="10"/>
  <c r="U68" i="10"/>
  <c r="U67" i="10"/>
  <c r="U66" i="10"/>
  <c r="U65" i="10"/>
  <c r="U64" i="10"/>
  <c r="V13" i="10" l="1"/>
  <c r="W10" i="10"/>
  <c r="E52" i="10" s="1"/>
  <c r="W22" i="10"/>
  <c r="W11" i="10"/>
  <c r="E53" i="10" s="1"/>
  <c r="E50" i="10"/>
  <c r="W6" i="10"/>
  <c r="W7" i="10"/>
  <c r="E49" i="10" s="1"/>
  <c r="W9" i="10"/>
  <c r="E51" i="10" s="1"/>
  <c r="X9" i="10"/>
  <c r="X7" i="10"/>
  <c r="W73" i="10"/>
  <c r="V71" i="10"/>
  <c r="V70" i="10"/>
  <c r="V69" i="10"/>
  <c r="V68" i="10"/>
  <c r="V67" i="10"/>
  <c r="V66" i="10"/>
  <c r="V65" i="10"/>
  <c r="V64" i="10"/>
  <c r="V85" i="10"/>
  <c r="V72" i="10" s="1"/>
  <c r="W77" i="10"/>
  <c r="N200" i="1"/>
  <c r="E298" i="11"/>
  <c r="E297" i="11"/>
  <c r="E295" i="11"/>
  <c r="E294" i="11"/>
  <c r="W13" i="10" l="1"/>
  <c r="E48" i="10"/>
  <c r="E54" i="10" s="1"/>
  <c r="E187" i="10" s="1"/>
  <c r="X8" i="10"/>
  <c r="X6" i="10"/>
  <c r="X11" i="10"/>
  <c r="X10" i="10"/>
  <c r="X22" i="10"/>
  <c r="W85" i="10"/>
  <c r="W72" i="10" s="1"/>
  <c r="G97" i="10" s="1"/>
  <c r="X77" i="10"/>
  <c r="G98" i="10"/>
  <c r="E186" i="10" s="1"/>
  <c r="X73" i="10"/>
  <c r="W71" i="10"/>
  <c r="G96" i="10" s="1"/>
  <c r="W70" i="10"/>
  <c r="G95" i="10" s="1"/>
  <c r="W69" i="10"/>
  <c r="G94" i="10" s="1"/>
  <c r="W68" i="10"/>
  <c r="G93" i="10" s="1"/>
  <c r="W67" i="10"/>
  <c r="G92" i="10" s="1"/>
  <c r="W66" i="10"/>
  <c r="G91" i="10" s="1"/>
  <c r="W65" i="10"/>
  <c r="G90" i="10" s="1"/>
  <c r="W64" i="10"/>
  <c r="G89" i="10" s="1"/>
  <c r="D299" i="11"/>
  <c r="E296" i="11"/>
  <c r="E299" i="11" s="1"/>
  <c r="F297" i="11" s="1"/>
  <c r="O260" i="11"/>
  <c r="E252" i="11"/>
  <c r="E260" i="11" s="1"/>
  <c r="F252" i="11"/>
  <c r="F260" i="11" s="1"/>
  <c r="G252" i="11"/>
  <c r="G260" i="11" s="1"/>
  <c r="H252" i="11"/>
  <c r="H260" i="11" s="1"/>
  <c r="I252" i="11"/>
  <c r="I260" i="11" s="1"/>
  <c r="J252" i="11"/>
  <c r="J260" i="11" s="1"/>
  <c r="K252" i="11"/>
  <c r="K260" i="11" s="1"/>
  <c r="L252" i="11"/>
  <c r="L260" i="11" s="1"/>
  <c r="M252" i="11"/>
  <c r="M260" i="11" s="1"/>
  <c r="N252" i="11"/>
  <c r="N260" i="11" s="1"/>
  <c r="D252" i="11"/>
  <c r="D260" i="11" s="1"/>
  <c r="E251" i="11"/>
  <c r="E259" i="11" s="1"/>
  <c r="F251" i="11"/>
  <c r="F259" i="11" s="1"/>
  <c r="G251" i="11"/>
  <c r="G259" i="11" s="1"/>
  <c r="H251" i="11"/>
  <c r="H259" i="11" s="1"/>
  <c r="I251" i="11"/>
  <c r="I259" i="11" s="1"/>
  <c r="J251" i="11"/>
  <c r="J259" i="11" s="1"/>
  <c r="K251" i="11"/>
  <c r="K259" i="11" s="1"/>
  <c r="L251" i="11"/>
  <c r="L259" i="11" s="1"/>
  <c r="M251" i="11"/>
  <c r="M259" i="11" s="1"/>
  <c r="N251" i="11"/>
  <c r="N259" i="11" s="1"/>
  <c r="O251" i="11"/>
  <c r="O259" i="11" s="1"/>
  <c r="D251" i="11"/>
  <c r="D259" i="11" s="1"/>
  <c r="E254" i="11"/>
  <c r="E262" i="11" s="1"/>
  <c r="F254" i="11"/>
  <c r="F262" i="11" s="1"/>
  <c r="G254" i="11"/>
  <c r="G262" i="11" s="1"/>
  <c r="H254" i="11"/>
  <c r="H262" i="11" s="1"/>
  <c r="I254" i="11"/>
  <c r="I262" i="11" s="1"/>
  <c r="J254" i="11"/>
  <c r="J262" i="11" s="1"/>
  <c r="K254" i="11"/>
  <c r="K262" i="11" s="1"/>
  <c r="L254" i="11"/>
  <c r="L262" i="11" s="1"/>
  <c r="M254" i="11"/>
  <c r="M262" i="11" s="1"/>
  <c r="N254" i="11"/>
  <c r="N262" i="11" s="1"/>
  <c r="O254" i="11"/>
  <c r="O262" i="11" s="1"/>
  <c r="D254" i="11"/>
  <c r="D262" i="11" s="1"/>
  <c r="E253" i="11"/>
  <c r="E261" i="11" s="1"/>
  <c r="F253" i="11"/>
  <c r="F261" i="11" s="1"/>
  <c r="G253" i="11"/>
  <c r="G261" i="11" s="1"/>
  <c r="H253" i="11"/>
  <c r="H261" i="11" s="1"/>
  <c r="I253" i="11"/>
  <c r="I261" i="11" s="1"/>
  <c r="J253" i="11"/>
  <c r="J261" i="11" s="1"/>
  <c r="K253" i="11"/>
  <c r="K261" i="11" s="1"/>
  <c r="L253" i="11"/>
  <c r="L261" i="11" s="1"/>
  <c r="M253" i="11"/>
  <c r="M261" i="11" s="1"/>
  <c r="N253" i="11"/>
  <c r="N261" i="11" s="1"/>
  <c r="O253" i="11"/>
  <c r="O261" i="11" s="1"/>
  <c r="D253" i="11"/>
  <c r="D261" i="11" s="1"/>
  <c r="E208" i="11"/>
  <c r="E218" i="11" s="1"/>
  <c r="F208" i="11"/>
  <c r="F218" i="11" s="1"/>
  <c r="G208" i="11"/>
  <c r="G218" i="11" s="1"/>
  <c r="H208" i="11"/>
  <c r="H218" i="11" s="1"/>
  <c r="I208" i="11"/>
  <c r="I218" i="11" s="1"/>
  <c r="J208" i="11"/>
  <c r="J218" i="11" s="1"/>
  <c r="K208" i="11"/>
  <c r="K218" i="11" s="1"/>
  <c r="L208" i="11"/>
  <c r="L218" i="11" s="1"/>
  <c r="M208" i="11"/>
  <c r="M218" i="11" s="1"/>
  <c r="N208" i="11"/>
  <c r="N218" i="11" s="1"/>
  <c r="O208" i="11"/>
  <c r="O218" i="11" s="1"/>
  <c r="E209" i="11"/>
  <c r="E219" i="11" s="1"/>
  <c r="F209" i="11"/>
  <c r="F219" i="11" s="1"/>
  <c r="G209" i="11"/>
  <c r="G219" i="11" s="1"/>
  <c r="H209" i="11"/>
  <c r="H219" i="11" s="1"/>
  <c r="I209" i="11"/>
  <c r="I219" i="11" s="1"/>
  <c r="J209" i="11"/>
  <c r="J219" i="11" s="1"/>
  <c r="K209" i="11"/>
  <c r="K219" i="11" s="1"/>
  <c r="L209" i="11"/>
  <c r="L219" i="11" s="1"/>
  <c r="M209" i="11"/>
  <c r="M219" i="11" s="1"/>
  <c r="N209" i="11"/>
  <c r="N219" i="11" s="1"/>
  <c r="O209" i="11"/>
  <c r="O219" i="11" s="1"/>
  <c r="E210" i="11"/>
  <c r="E220" i="11" s="1"/>
  <c r="F210" i="11"/>
  <c r="F220" i="11" s="1"/>
  <c r="G210" i="11"/>
  <c r="G220" i="11" s="1"/>
  <c r="H210" i="11"/>
  <c r="H220" i="11" s="1"/>
  <c r="I210" i="11"/>
  <c r="I220" i="11" s="1"/>
  <c r="J210" i="11"/>
  <c r="J220" i="11" s="1"/>
  <c r="K210" i="11"/>
  <c r="K220" i="11" s="1"/>
  <c r="L210" i="11"/>
  <c r="L220" i="11" s="1"/>
  <c r="M210" i="11"/>
  <c r="M220" i="11" s="1"/>
  <c r="N210" i="11"/>
  <c r="N220" i="11" s="1"/>
  <c r="O210" i="11"/>
  <c r="O220" i="11" s="1"/>
  <c r="E211" i="11"/>
  <c r="E221" i="11" s="1"/>
  <c r="F211" i="11"/>
  <c r="F221" i="11" s="1"/>
  <c r="G211" i="11"/>
  <c r="G221" i="11" s="1"/>
  <c r="H211" i="11"/>
  <c r="H221" i="11" s="1"/>
  <c r="I211" i="11"/>
  <c r="I221" i="11" s="1"/>
  <c r="J211" i="11"/>
  <c r="J221" i="11" s="1"/>
  <c r="K211" i="11"/>
  <c r="K221" i="11" s="1"/>
  <c r="L211" i="11"/>
  <c r="L221" i="11" s="1"/>
  <c r="M211" i="11"/>
  <c r="M221" i="11" s="1"/>
  <c r="N211" i="11"/>
  <c r="N221" i="11" s="1"/>
  <c r="O211" i="11"/>
  <c r="O221" i="11" s="1"/>
  <c r="D211" i="11"/>
  <c r="D221" i="11" s="1"/>
  <c r="D210" i="11"/>
  <c r="D220" i="11" s="1"/>
  <c r="D209" i="11"/>
  <c r="D219" i="11" s="1"/>
  <c r="D208" i="11"/>
  <c r="D218" i="11" s="1"/>
  <c r="E207" i="11"/>
  <c r="E217" i="11" s="1"/>
  <c r="F207" i="11"/>
  <c r="F217" i="11" s="1"/>
  <c r="G207" i="11"/>
  <c r="H207" i="11"/>
  <c r="H217" i="11" s="1"/>
  <c r="I207" i="11"/>
  <c r="J207" i="11"/>
  <c r="J217" i="11" s="1"/>
  <c r="K207" i="11"/>
  <c r="K217" i="11" s="1"/>
  <c r="L207" i="11"/>
  <c r="L217" i="11" s="1"/>
  <c r="M207" i="11"/>
  <c r="M217" i="11" s="1"/>
  <c r="N207" i="11"/>
  <c r="O207" i="11"/>
  <c r="D207" i="11"/>
  <c r="D217" i="11" s="1"/>
  <c r="E157" i="11"/>
  <c r="E169" i="11" s="1"/>
  <c r="F157" i="11"/>
  <c r="F169" i="11" s="1"/>
  <c r="G157" i="11"/>
  <c r="G169" i="11" s="1"/>
  <c r="H157" i="11"/>
  <c r="H169" i="11" s="1"/>
  <c r="I157" i="11"/>
  <c r="I169" i="11" s="1"/>
  <c r="J157" i="11"/>
  <c r="J169" i="11" s="1"/>
  <c r="K157" i="11"/>
  <c r="K169" i="11" s="1"/>
  <c r="L157" i="11"/>
  <c r="L169" i="11" s="1"/>
  <c r="M157" i="11"/>
  <c r="M169" i="11" s="1"/>
  <c r="N157" i="11"/>
  <c r="N169" i="11" s="1"/>
  <c r="O157" i="11"/>
  <c r="O169" i="11" s="1"/>
  <c r="D157" i="11"/>
  <c r="D169" i="11" s="1"/>
  <c r="E156" i="11"/>
  <c r="E168" i="11" s="1"/>
  <c r="F156" i="11"/>
  <c r="F168" i="11" s="1"/>
  <c r="G156" i="11"/>
  <c r="G168" i="11" s="1"/>
  <c r="H156" i="11"/>
  <c r="H168" i="11" s="1"/>
  <c r="I156" i="11"/>
  <c r="I168" i="11" s="1"/>
  <c r="J156" i="11"/>
  <c r="J168" i="11" s="1"/>
  <c r="K156" i="11"/>
  <c r="K168" i="11" s="1"/>
  <c r="L156" i="11"/>
  <c r="L168" i="11" s="1"/>
  <c r="M156" i="11"/>
  <c r="M168" i="11" s="1"/>
  <c r="N156" i="11"/>
  <c r="N168" i="11" s="1"/>
  <c r="O156" i="11"/>
  <c r="O168" i="11" s="1"/>
  <c r="D156" i="11"/>
  <c r="D168" i="11" s="1"/>
  <c r="E155" i="11"/>
  <c r="E167" i="11" s="1"/>
  <c r="F155" i="11"/>
  <c r="F167" i="11" s="1"/>
  <c r="G155" i="11"/>
  <c r="G167" i="11" s="1"/>
  <c r="H155" i="11"/>
  <c r="H167" i="11" s="1"/>
  <c r="I155" i="11"/>
  <c r="I167" i="11" s="1"/>
  <c r="J155" i="11"/>
  <c r="J167" i="11" s="1"/>
  <c r="K155" i="11"/>
  <c r="K167" i="11" s="1"/>
  <c r="L155" i="11"/>
  <c r="L167" i="11" s="1"/>
  <c r="M155" i="11"/>
  <c r="M167" i="11" s="1"/>
  <c r="N155" i="11"/>
  <c r="N167" i="11" s="1"/>
  <c r="O155" i="11"/>
  <c r="O167" i="11" s="1"/>
  <c r="D155" i="11"/>
  <c r="D167" i="11" s="1"/>
  <c r="E154" i="11"/>
  <c r="E166" i="11" s="1"/>
  <c r="F154" i="11"/>
  <c r="F166" i="11" s="1"/>
  <c r="G154" i="11"/>
  <c r="G166" i="11" s="1"/>
  <c r="H154" i="11"/>
  <c r="H166" i="11" s="1"/>
  <c r="I154" i="11"/>
  <c r="I166" i="11" s="1"/>
  <c r="J154" i="11"/>
  <c r="J166" i="11" s="1"/>
  <c r="K154" i="11"/>
  <c r="K166" i="11" s="1"/>
  <c r="L154" i="11"/>
  <c r="L166" i="11" s="1"/>
  <c r="M154" i="11"/>
  <c r="M166" i="11" s="1"/>
  <c r="N154" i="11"/>
  <c r="N166" i="11" s="1"/>
  <c r="O154" i="11"/>
  <c r="O166" i="11" s="1"/>
  <c r="D154" i="11"/>
  <c r="D166" i="11" s="1"/>
  <c r="E153" i="11"/>
  <c r="E165" i="11" s="1"/>
  <c r="F153" i="11"/>
  <c r="F165" i="11" s="1"/>
  <c r="G153" i="11"/>
  <c r="G165" i="11" s="1"/>
  <c r="H153" i="11"/>
  <c r="H165" i="11" s="1"/>
  <c r="I153" i="11"/>
  <c r="I165" i="11" s="1"/>
  <c r="J153" i="11"/>
  <c r="J165" i="11" s="1"/>
  <c r="K153" i="11"/>
  <c r="K165" i="11" s="1"/>
  <c r="L153" i="11"/>
  <c r="L165" i="11" s="1"/>
  <c r="M153" i="11"/>
  <c r="M165" i="11" s="1"/>
  <c r="N153" i="11"/>
  <c r="N165" i="11" s="1"/>
  <c r="O153" i="11"/>
  <c r="O165" i="11" s="1"/>
  <c r="D153" i="11"/>
  <c r="D165" i="11" s="1"/>
  <c r="E152" i="11"/>
  <c r="E164" i="11" s="1"/>
  <c r="F152" i="11"/>
  <c r="F164" i="11" s="1"/>
  <c r="G152" i="11"/>
  <c r="G164" i="11" s="1"/>
  <c r="H152" i="11"/>
  <c r="H164" i="11" s="1"/>
  <c r="I152" i="11"/>
  <c r="I164" i="11" s="1"/>
  <c r="J152" i="11"/>
  <c r="J164" i="11" s="1"/>
  <c r="K152" i="11"/>
  <c r="K164" i="11" s="1"/>
  <c r="L152" i="11"/>
  <c r="L164" i="11" s="1"/>
  <c r="M152" i="11"/>
  <c r="M164" i="11" s="1"/>
  <c r="N152" i="11"/>
  <c r="N164" i="11" s="1"/>
  <c r="O152" i="11"/>
  <c r="O164" i="11" s="1"/>
  <c r="D152" i="11"/>
  <c r="D164" i="11" s="1"/>
  <c r="E151" i="11"/>
  <c r="E163" i="11" s="1"/>
  <c r="F151" i="11"/>
  <c r="F163" i="11" s="1"/>
  <c r="F170" i="11" s="1"/>
  <c r="G151" i="11"/>
  <c r="G163" i="11" s="1"/>
  <c r="H151" i="11"/>
  <c r="H163" i="11" s="1"/>
  <c r="I151" i="11"/>
  <c r="I163" i="11" s="1"/>
  <c r="J151" i="11"/>
  <c r="J163" i="11" s="1"/>
  <c r="K151" i="11"/>
  <c r="K163" i="11" s="1"/>
  <c r="L151" i="11"/>
  <c r="L163" i="11" s="1"/>
  <c r="L170" i="11" s="1"/>
  <c r="L196" i="11" s="1"/>
  <c r="M151" i="11"/>
  <c r="M163" i="11" s="1"/>
  <c r="N151" i="11"/>
  <c r="N163" i="11" s="1"/>
  <c r="O151" i="11"/>
  <c r="O163" i="11" s="1"/>
  <c r="D151" i="11"/>
  <c r="D163" i="11" s="1"/>
  <c r="I147" i="11"/>
  <c r="H147" i="11"/>
  <c r="G147" i="11"/>
  <c r="F147" i="11"/>
  <c r="E147" i="11"/>
  <c r="D147" i="11"/>
  <c r="O112" i="11"/>
  <c r="E110" i="11"/>
  <c r="F110" i="11"/>
  <c r="G110" i="11"/>
  <c r="H110" i="11"/>
  <c r="I110" i="11"/>
  <c r="J110" i="11"/>
  <c r="J116" i="11" s="1"/>
  <c r="K110" i="11"/>
  <c r="K116" i="11" s="1"/>
  <c r="L110" i="11"/>
  <c r="M110" i="11"/>
  <c r="N110" i="11"/>
  <c r="N116" i="11" s="1"/>
  <c r="O110" i="11"/>
  <c r="D110" i="11"/>
  <c r="E109" i="11"/>
  <c r="F109" i="11"/>
  <c r="G109" i="11"/>
  <c r="H109" i="11"/>
  <c r="I109" i="11"/>
  <c r="J109" i="11"/>
  <c r="J115" i="11" s="1"/>
  <c r="K109" i="11"/>
  <c r="K115" i="11" s="1"/>
  <c r="L109" i="11"/>
  <c r="M109" i="11"/>
  <c r="N109" i="11"/>
  <c r="N115" i="11" s="1"/>
  <c r="O109" i="11"/>
  <c r="D109" i="11"/>
  <c r="E52" i="11"/>
  <c r="E56" i="11" s="1"/>
  <c r="E79" i="11" s="1"/>
  <c r="F52" i="11"/>
  <c r="F56" i="11" s="1"/>
  <c r="F79" i="11" s="1"/>
  <c r="G52" i="11"/>
  <c r="G57" i="11" s="1"/>
  <c r="G80" i="11" s="1"/>
  <c r="H52" i="11"/>
  <c r="H57" i="11" s="1"/>
  <c r="H80" i="11" s="1"/>
  <c r="I52" i="11"/>
  <c r="I56" i="11" s="1"/>
  <c r="I79" i="11" s="1"/>
  <c r="J52" i="11"/>
  <c r="J57" i="11" s="1"/>
  <c r="J80" i="11" s="1"/>
  <c r="K52" i="11"/>
  <c r="K56" i="11" s="1"/>
  <c r="K79" i="11" s="1"/>
  <c r="L52" i="11"/>
  <c r="L56" i="11" s="1"/>
  <c r="L79" i="11" s="1"/>
  <c r="M52" i="11"/>
  <c r="M56" i="11" s="1"/>
  <c r="M79" i="11" s="1"/>
  <c r="N52" i="11"/>
  <c r="N56" i="11" s="1"/>
  <c r="N79" i="11" s="1"/>
  <c r="O52" i="11"/>
  <c r="O56" i="11" s="1"/>
  <c r="O79" i="11" s="1"/>
  <c r="D52" i="11"/>
  <c r="D57" i="11" s="1"/>
  <c r="D80" i="11" s="1"/>
  <c r="X13" i="10" l="1"/>
  <c r="E189" i="10"/>
  <c r="D216" i="10" s="1"/>
  <c r="L115" i="11"/>
  <c r="L116" i="11"/>
  <c r="I115" i="11"/>
  <c r="I116" i="11"/>
  <c r="M115" i="11"/>
  <c r="M116" i="11"/>
  <c r="O115" i="11"/>
  <c r="O116" i="11"/>
  <c r="Y10" i="10"/>
  <c r="Y22" i="10"/>
  <c r="Y11" i="10"/>
  <c r="Y8" i="10"/>
  <c r="Y6" i="10"/>
  <c r="Y7" i="10"/>
  <c r="Y9" i="10"/>
  <c r="Z9" i="10"/>
  <c r="Z7" i="10"/>
  <c r="Y73" i="10"/>
  <c r="X71" i="10"/>
  <c r="X70" i="10"/>
  <c r="X69" i="10"/>
  <c r="X68" i="10"/>
  <c r="X67" i="10"/>
  <c r="X66" i="10"/>
  <c r="X65" i="10"/>
  <c r="X64" i="10"/>
  <c r="X85" i="10"/>
  <c r="X72" i="10" s="1"/>
  <c r="Y77" i="10"/>
  <c r="K59" i="11"/>
  <c r="K267" i="11"/>
  <c r="I267" i="11"/>
  <c r="N267" i="11"/>
  <c r="E74" i="11"/>
  <c r="E64" i="11"/>
  <c r="E75" i="11"/>
  <c r="K63" i="11"/>
  <c r="N269" i="11"/>
  <c r="E68" i="11"/>
  <c r="E69" i="11"/>
  <c r="E59" i="11"/>
  <c r="J268" i="11"/>
  <c r="J269" i="11"/>
  <c r="F295" i="11"/>
  <c r="F294" i="11"/>
  <c r="F296" i="11"/>
  <c r="F298" i="11"/>
  <c r="K269" i="11"/>
  <c r="I170" i="11"/>
  <c r="I199" i="11" s="1"/>
  <c r="J267" i="11"/>
  <c r="K170" i="11"/>
  <c r="K195" i="11" s="1"/>
  <c r="N268" i="11"/>
  <c r="M269" i="11"/>
  <c r="J266" i="11"/>
  <c r="O266" i="11"/>
  <c r="E73" i="11"/>
  <c r="K62" i="11"/>
  <c r="K84" i="11" s="1"/>
  <c r="E58" i="11"/>
  <c r="N266" i="11"/>
  <c r="K55" i="11"/>
  <c r="K78" i="11" s="1"/>
  <c r="E72" i="11"/>
  <c r="K66" i="11"/>
  <c r="K85" i="11" s="1"/>
  <c r="E62" i="11"/>
  <c r="E84" i="11" s="1"/>
  <c r="K57" i="11"/>
  <c r="K80" i="11" s="1"/>
  <c r="M266" i="11"/>
  <c r="I266" i="11"/>
  <c r="E61" i="11"/>
  <c r="E83" i="11" s="1"/>
  <c r="E67" i="11"/>
  <c r="F55" i="11"/>
  <c r="F78" i="11" s="1"/>
  <c r="E71" i="11"/>
  <c r="K65" i="11"/>
  <c r="N212" i="11"/>
  <c r="L266" i="11"/>
  <c r="M267" i="11"/>
  <c r="D55" i="11"/>
  <c r="D78" i="11" s="1"/>
  <c r="E70" i="11"/>
  <c r="E65" i="11"/>
  <c r="K60" i="11"/>
  <c r="K82" i="11" s="1"/>
  <c r="L267" i="11"/>
  <c r="K266" i="11"/>
  <c r="O267" i="11"/>
  <c r="L268" i="11"/>
  <c r="M268" i="11"/>
  <c r="J55" i="11"/>
  <c r="J78" i="11" s="1"/>
  <c r="O75" i="11"/>
  <c r="O74" i="11"/>
  <c r="O73" i="11"/>
  <c r="O72" i="11"/>
  <c r="O71" i="11"/>
  <c r="O70" i="11"/>
  <c r="O69" i="11"/>
  <c r="O68" i="11"/>
  <c r="O67" i="11"/>
  <c r="I66" i="11"/>
  <c r="I85" i="11" s="1"/>
  <c r="O64" i="11"/>
  <c r="I63" i="11"/>
  <c r="O61" i="11"/>
  <c r="O83" i="11" s="1"/>
  <c r="I60" i="11"/>
  <c r="I82" i="11" s="1"/>
  <c r="O58" i="11"/>
  <c r="I57" i="11"/>
  <c r="I80" i="11" s="1"/>
  <c r="G170" i="11"/>
  <c r="G197" i="11" s="1"/>
  <c r="G212" i="11"/>
  <c r="I55" i="11"/>
  <c r="I78" i="11" s="1"/>
  <c r="L75" i="11"/>
  <c r="L74" i="11"/>
  <c r="L73" i="11"/>
  <c r="L72" i="11"/>
  <c r="L71" i="11"/>
  <c r="L70" i="11"/>
  <c r="L69" i="11"/>
  <c r="L68" i="11"/>
  <c r="K67" i="11"/>
  <c r="E66" i="11"/>
  <c r="E85" i="11" s="1"/>
  <c r="K64" i="11"/>
  <c r="E63" i="11"/>
  <c r="K61" i="11"/>
  <c r="K83" i="11" s="1"/>
  <c r="E60" i="11"/>
  <c r="E82" i="11" s="1"/>
  <c r="K58" i="11"/>
  <c r="K81" i="11" s="1"/>
  <c r="E57" i="11"/>
  <c r="E80" i="11" s="1"/>
  <c r="O55" i="11"/>
  <c r="O78" i="11" s="1"/>
  <c r="G55" i="11"/>
  <c r="G78" i="11" s="1"/>
  <c r="K75" i="11"/>
  <c r="K74" i="11"/>
  <c r="K73" i="11"/>
  <c r="K72" i="11"/>
  <c r="K71" i="11"/>
  <c r="K70" i="11"/>
  <c r="K69" i="11"/>
  <c r="K68" i="11"/>
  <c r="I67" i="11"/>
  <c r="O65" i="11"/>
  <c r="I64" i="11"/>
  <c r="O62" i="11"/>
  <c r="O84" i="11" s="1"/>
  <c r="I61" i="11"/>
  <c r="I83" i="11" s="1"/>
  <c r="O59" i="11"/>
  <c r="I58" i="11"/>
  <c r="I74" i="11"/>
  <c r="I73" i="11"/>
  <c r="I71" i="11"/>
  <c r="I68" i="11"/>
  <c r="M55" i="11"/>
  <c r="M78" i="11" s="1"/>
  <c r="I75" i="11"/>
  <c r="I72" i="11"/>
  <c r="I70" i="11"/>
  <c r="I69" i="11"/>
  <c r="L55" i="11"/>
  <c r="L78" i="11" s="1"/>
  <c r="E55" i="11"/>
  <c r="E78" i="11" s="1"/>
  <c r="F75" i="11"/>
  <c r="F74" i="11"/>
  <c r="F73" i="11"/>
  <c r="F72" i="11"/>
  <c r="F71" i="11"/>
  <c r="F70" i="11"/>
  <c r="F69" i="11"/>
  <c r="F68" i="11"/>
  <c r="O66" i="11"/>
  <c r="O85" i="11" s="1"/>
  <c r="I65" i="11"/>
  <c r="O63" i="11"/>
  <c r="I62" i="11"/>
  <c r="I84" i="11" s="1"/>
  <c r="O60" i="11"/>
  <c r="O82" i="11" s="1"/>
  <c r="I59" i="11"/>
  <c r="O57" i="11"/>
  <c r="O80" i="11" s="1"/>
  <c r="O212" i="11"/>
  <c r="I212" i="11"/>
  <c r="N170" i="11"/>
  <c r="N197" i="11" s="1"/>
  <c r="H170" i="11"/>
  <c r="H195" i="11" s="1"/>
  <c r="K268" i="11"/>
  <c r="I268" i="11"/>
  <c r="O268" i="11"/>
  <c r="I269" i="11"/>
  <c r="L269" i="11"/>
  <c r="O269" i="11"/>
  <c r="O170" i="11"/>
  <c r="O199" i="11" s="1"/>
  <c r="H222" i="11"/>
  <c r="H245" i="11" s="1"/>
  <c r="O158" i="11"/>
  <c r="I158" i="11"/>
  <c r="M212" i="11"/>
  <c r="F212" i="11"/>
  <c r="O217" i="11"/>
  <c r="I217" i="11"/>
  <c r="N158" i="11"/>
  <c r="H158" i="11"/>
  <c r="K212" i="11"/>
  <c r="E212" i="11"/>
  <c r="N217" i="11"/>
  <c r="M158" i="11"/>
  <c r="G158" i="11"/>
  <c r="J212" i="11"/>
  <c r="G217" i="11"/>
  <c r="L158" i="11"/>
  <c r="F158" i="11"/>
  <c r="D212" i="11"/>
  <c r="K158" i="11"/>
  <c r="E158" i="11"/>
  <c r="H212" i="11"/>
  <c r="D158" i="11"/>
  <c r="J158" i="11"/>
  <c r="L222" i="11"/>
  <c r="L244" i="11" s="1"/>
  <c r="L212" i="11"/>
  <c r="D222" i="11"/>
  <c r="D242" i="11" s="1"/>
  <c r="J222" i="11"/>
  <c r="J244" i="11" s="1"/>
  <c r="M222" i="11"/>
  <c r="M242" i="11" s="1"/>
  <c r="L197" i="11"/>
  <c r="E170" i="11"/>
  <c r="E195" i="11" s="1"/>
  <c r="N199" i="11"/>
  <c r="F196" i="11"/>
  <c r="F195" i="11"/>
  <c r="F201" i="11"/>
  <c r="F200" i="11"/>
  <c r="F199" i="11"/>
  <c r="F198" i="11"/>
  <c r="F197" i="11"/>
  <c r="L198" i="11"/>
  <c r="J170" i="11"/>
  <c r="L199" i="11"/>
  <c r="L200" i="11"/>
  <c r="L201" i="11"/>
  <c r="L195" i="11"/>
  <c r="M170" i="11"/>
  <c r="F222" i="11"/>
  <c r="F243" i="11" s="1"/>
  <c r="K222" i="11"/>
  <c r="K242" i="11" s="1"/>
  <c r="E222" i="11"/>
  <c r="E243" i="11" s="1"/>
  <c r="D170" i="11"/>
  <c r="H56" i="11"/>
  <c r="H79" i="11" s="1"/>
  <c r="G56" i="11"/>
  <c r="G79" i="11" s="1"/>
  <c r="D56" i="11"/>
  <c r="D79" i="11" s="1"/>
  <c r="J56" i="11"/>
  <c r="J79" i="11" s="1"/>
  <c r="N55" i="11"/>
  <c r="N78" i="11" s="1"/>
  <c r="H55" i="11"/>
  <c r="H78" i="11" s="1"/>
  <c r="N75" i="11"/>
  <c r="H75" i="11"/>
  <c r="N74" i="11"/>
  <c r="H74" i="11"/>
  <c r="N73" i="11"/>
  <c r="H73" i="11"/>
  <c r="N72" i="11"/>
  <c r="H72" i="11"/>
  <c r="N71" i="11"/>
  <c r="H71" i="11"/>
  <c r="N70" i="11"/>
  <c r="H70" i="11"/>
  <c r="N69" i="11"/>
  <c r="H69" i="11"/>
  <c r="N68" i="11"/>
  <c r="H68" i="11"/>
  <c r="N67" i="11"/>
  <c r="H67" i="11"/>
  <c r="N66" i="11"/>
  <c r="N85" i="11" s="1"/>
  <c r="H66" i="11"/>
  <c r="H85" i="11" s="1"/>
  <c r="N65" i="11"/>
  <c r="H65" i="11"/>
  <c r="N64" i="11"/>
  <c r="H64" i="11"/>
  <c r="N63" i="11"/>
  <c r="H63" i="11"/>
  <c r="N62" i="11"/>
  <c r="N84" i="11" s="1"/>
  <c r="H62" i="11"/>
  <c r="H84" i="11" s="1"/>
  <c r="N61" i="11"/>
  <c r="N83" i="11" s="1"/>
  <c r="H61" i="11"/>
  <c r="H83" i="11" s="1"/>
  <c r="N60" i="11"/>
  <c r="N82" i="11" s="1"/>
  <c r="H60" i="11"/>
  <c r="H82" i="11" s="1"/>
  <c r="N59" i="11"/>
  <c r="H59" i="11"/>
  <c r="N58" i="11"/>
  <c r="H58" i="11"/>
  <c r="N57" i="11"/>
  <c r="N80" i="11" s="1"/>
  <c r="M75" i="11"/>
  <c r="G75" i="11"/>
  <c r="M74" i="11"/>
  <c r="G74" i="11"/>
  <c r="M73" i="11"/>
  <c r="G73" i="11"/>
  <c r="M72" i="11"/>
  <c r="G72" i="11"/>
  <c r="M71" i="11"/>
  <c r="G71" i="11"/>
  <c r="M70" i="11"/>
  <c r="G70" i="11"/>
  <c r="M69" i="11"/>
  <c r="G69" i="11"/>
  <c r="M68" i="11"/>
  <c r="G68" i="11"/>
  <c r="M67" i="11"/>
  <c r="G67" i="11"/>
  <c r="M66" i="11"/>
  <c r="M85" i="11" s="1"/>
  <c r="G66" i="11"/>
  <c r="G85" i="11" s="1"/>
  <c r="M65" i="11"/>
  <c r="G65" i="11"/>
  <c r="M64" i="11"/>
  <c r="G64" i="11"/>
  <c r="M63" i="11"/>
  <c r="G63" i="11"/>
  <c r="M62" i="11"/>
  <c r="M84" i="11" s="1"/>
  <c r="G62" i="11"/>
  <c r="G84" i="11" s="1"/>
  <c r="M61" i="11"/>
  <c r="M83" i="11" s="1"/>
  <c r="G61" i="11"/>
  <c r="G83" i="11" s="1"/>
  <c r="M60" i="11"/>
  <c r="M82" i="11" s="1"/>
  <c r="G60" i="11"/>
  <c r="G82" i="11" s="1"/>
  <c r="M59" i="11"/>
  <c r="G59" i="11"/>
  <c r="M58" i="11"/>
  <c r="G58" i="11"/>
  <c r="M57" i="11"/>
  <c r="M80" i="11" s="1"/>
  <c r="L67" i="11"/>
  <c r="F67" i="11"/>
  <c r="L66" i="11"/>
  <c r="L85" i="11" s="1"/>
  <c r="F66" i="11"/>
  <c r="F85" i="11" s="1"/>
  <c r="L65" i="11"/>
  <c r="F65" i="11"/>
  <c r="L64" i="11"/>
  <c r="F64" i="11"/>
  <c r="L63" i="11"/>
  <c r="F63" i="11"/>
  <c r="L62" i="11"/>
  <c r="L84" i="11" s="1"/>
  <c r="F62" i="11"/>
  <c r="F84" i="11" s="1"/>
  <c r="L61" i="11"/>
  <c r="L83" i="11" s="1"/>
  <c r="F61" i="11"/>
  <c r="F83" i="11" s="1"/>
  <c r="L60" i="11"/>
  <c r="L82" i="11" s="1"/>
  <c r="F60" i="11"/>
  <c r="F82" i="11" s="1"/>
  <c r="L59" i="11"/>
  <c r="F59" i="11"/>
  <c r="L58" i="11"/>
  <c r="F58" i="11"/>
  <c r="L57" i="11"/>
  <c r="L80" i="11" s="1"/>
  <c r="F57" i="11"/>
  <c r="F80" i="11" s="1"/>
  <c r="J75" i="11"/>
  <c r="D75" i="11"/>
  <c r="J74" i="11"/>
  <c r="D74" i="11"/>
  <c r="J73" i="11"/>
  <c r="D73" i="11"/>
  <c r="J72" i="11"/>
  <c r="D72" i="11"/>
  <c r="J71" i="11"/>
  <c r="D71" i="11"/>
  <c r="J70" i="11"/>
  <c r="D70" i="11"/>
  <c r="J69" i="11"/>
  <c r="D69" i="11"/>
  <c r="J68" i="11"/>
  <c r="D68" i="11"/>
  <c r="J67" i="11"/>
  <c r="D67" i="11"/>
  <c r="J66" i="11"/>
  <c r="J85" i="11" s="1"/>
  <c r="D66" i="11"/>
  <c r="D85" i="11" s="1"/>
  <c r="J65" i="11"/>
  <c r="D65" i="11"/>
  <c r="J64" i="11"/>
  <c r="D64" i="11"/>
  <c r="J63" i="11"/>
  <c r="D63" i="11"/>
  <c r="J62" i="11"/>
  <c r="J84" i="11" s="1"/>
  <c r="D62" i="11"/>
  <c r="D84" i="11" s="1"/>
  <c r="J61" i="11"/>
  <c r="J83" i="11" s="1"/>
  <c r="D61" i="11"/>
  <c r="D83" i="11" s="1"/>
  <c r="J60" i="11"/>
  <c r="J82" i="11" s="1"/>
  <c r="D60" i="11"/>
  <c r="D82" i="11" s="1"/>
  <c r="J59" i="11"/>
  <c r="D59" i="11"/>
  <c r="J58" i="11"/>
  <c r="D58" i="11"/>
  <c r="D25" i="11"/>
  <c r="E25" i="11"/>
  <c r="F25" i="11"/>
  <c r="G25" i="11"/>
  <c r="H25" i="11"/>
  <c r="I25" i="11"/>
  <c r="J25" i="11"/>
  <c r="K25" i="11"/>
  <c r="L25" i="11"/>
  <c r="M25" i="11"/>
  <c r="N25" i="11"/>
  <c r="C25" i="11"/>
  <c r="D24" i="11"/>
  <c r="E24" i="11"/>
  <c r="F24" i="11"/>
  <c r="G24" i="11"/>
  <c r="H24" i="11"/>
  <c r="I24" i="11"/>
  <c r="J24" i="11"/>
  <c r="K24" i="11"/>
  <c r="L24" i="11"/>
  <c r="M24" i="11"/>
  <c r="N24" i="11"/>
  <c r="C24" i="11"/>
  <c r="D23" i="11"/>
  <c r="E23" i="11"/>
  <c r="F23" i="11"/>
  <c r="G23" i="11"/>
  <c r="H23" i="11"/>
  <c r="I23" i="11"/>
  <c r="J23" i="11"/>
  <c r="K23" i="11"/>
  <c r="L23" i="11"/>
  <c r="M23" i="11"/>
  <c r="N23" i="11"/>
  <c r="C23" i="11"/>
  <c r="Y13" i="10" l="1"/>
  <c r="D215" i="10"/>
  <c r="D214" i="10"/>
  <c r="D218" i="10"/>
  <c r="D217" i="10"/>
  <c r="L81" i="11"/>
  <c r="Z8" i="10"/>
  <c r="Z6" i="10"/>
  <c r="Z11" i="10"/>
  <c r="Z10" i="10"/>
  <c r="Z22" i="10"/>
  <c r="Y85" i="10"/>
  <c r="Y72" i="10" s="1"/>
  <c r="Z77" i="10"/>
  <c r="Z73" i="10"/>
  <c r="Y71" i="10"/>
  <c r="Y70" i="10"/>
  <c r="Y69" i="10"/>
  <c r="Y68" i="10"/>
  <c r="Y67" i="10"/>
  <c r="Y66" i="10"/>
  <c r="Y65" i="10"/>
  <c r="Y64" i="10"/>
  <c r="I195" i="11"/>
  <c r="N200" i="11"/>
  <c r="N198" i="11"/>
  <c r="I197" i="11"/>
  <c r="I201" i="11"/>
  <c r="H198" i="11"/>
  <c r="I200" i="11"/>
  <c r="K199" i="11"/>
  <c r="N201" i="11"/>
  <c r="K196" i="11"/>
  <c r="E81" i="11"/>
  <c r="G195" i="11"/>
  <c r="H199" i="11"/>
  <c r="G199" i="11"/>
  <c r="H201" i="11"/>
  <c r="H196" i="11"/>
  <c r="F299" i="11"/>
  <c r="H200" i="11"/>
  <c r="G196" i="11"/>
  <c r="H197" i="11"/>
  <c r="I198" i="11"/>
  <c r="K197" i="11"/>
  <c r="K200" i="11"/>
  <c r="I196" i="11"/>
  <c r="K201" i="11"/>
  <c r="K198" i="11"/>
  <c r="D246" i="11"/>
  <c r="G200" i="11"/>
  <c r="D245" i="11"/>
  <c r="I81" i="11"/>
  <c r="N195" i="11"/>
  <c r="G201" i="11"/>
  <c r="N196" i="11"/>
  <c r="K86" i="11"/>
  <c r="H246" i="11"/>
  <c r="O200" i="11"/>
  <c r="E86" i="11"/>
  <c r="G198" i="11"/>
  <c r="O81" i="11"/>
  <c r="D86" i="11"/>
  <c r="G86" i="11"/>
  <c r="E244" i="11"/>
  <c r="H242" i="11"/>
  <c r="I86" i="11"/>
  <c r="D81" i="11"/>
  <c r="D87" i="11" s="1"/>
  <c r="G81" i="11"/>
  <c r="E242" i="11"/>
  <c r="O86" i="11"/>
  <c r="J243" i="11"/>
  <c r="J242" i="11"/>
  <c r="J245" i="11"/>
  <c r="E246" i="11"/>
  <c r="H243" i="11"/>
  <c r="E245" i="11"/>
  <c r="O196" i="11"/>
  <c r="O195" i="11"/>
  <c r="H244" i="11"/>
  <c r="M246" i="11"/>
  <c r="L246" i="11"/>
  <c r="O197" i="11"/>
  <c r="M244" i="11"/>
  <c r="D244" i="11"/>
  <c r="O222" i="11"/>
  <c r="O242" i="11" s="1"/>
  <c r="M245" i="11"/>
  <c r="M243" i="11"/>
  <c r="K244" i="11"/>
  <c r="L243" i="11"/>
  <c r="K245" i="11"/>
  <c r="O201" i="11"/>
  <c r="L202" i="11"/>
  <c r="F245" i="11"/>
  <c r="K246" i="11"/>
  <c r="F242" i="11"/>
  <c r="F246" i="11"/>
  <c r="L242" i="11"/>
  <c r="N222" i="11"/>
  <c r="K243" i="11"/>
  <c r="F244" i="11"/>
  <c r="J246" i="11"/>
  <c r="L245" i="11"/>
  <c r="E201" i="11"/>
  <c r="O198" i="11"/>
  <c r="G222" i="11"/>
  <c r="G242" i="11" s="1"/>
  <c r="I222" i="11"/>
  <c r="I242" i="11" s="1"/>
  <c r="D243" i="11"/>
  <c r="E200" i="11"/>
  <c r="E199" i="11"/>
  <c r="E198" i="11"/>
  <c r="E197" i="11"/>
  <c r="F202" i="11"/>
  <c r="E196" i="11"/>
  <c r="M197" i="11"/>
  <c r="M196" i="11"/>
  <c r="M198" i="11"/>
  <c r="M195" i="11"/>
  <c r="M201" i="11"/>
  <c r="M200" i="11"/>
  <c r="M199" i="11"/>
  <c r="J200" i="11"/>
  <c r="J199" i="11"/>
  <c r="J198" i="11"/>
  <c r="J201" i="11"/>
  <c r="J197" i="11"/>
  <c r="J195" i="11"/>
  <c r="J196" i="11"/>
  <c r="D195" i="11"/>
  <c r="D199" i="11"/>
  <c r="D200" i="11"/>
  <c r="D201" i="11"/>
  <c r="D196" i="11"/>
  <c r="D197" i="11"/>
  <c r="D198" i="11"/>
  <c r="J86" i="11"/>
  <c r="M86" i="11"/>
  <c r="H86" i="11"/>
  <c r="F86" i="11"/>
  <c r="N86" i="11"/>
  <c r="J81" i="11"/>
  <c r="L86" i="11"/>
  <c r="M81" i="11"/>
  <c r="H81" i="11"/>
  <c r="F81" i="11"/>
  <c r="N81" i="11"/>
  <c r="Z13" i="10" l="1"/>
  <c r="G297" i="11"/>
  <c r="G298" i="11"/>
  <c r="G296" i="11"/>
  <c r="G294" i="11"/>
  <c r="G295" i="11"/>
  <c r="D219" i="10"/>
  <c r="AA10" i="10"/>
  <c r="AA22" i="10"/>
  <c r="AA11" i="10"/>
  <c r="AA8" i="10"/>
  <c r="AA9" i="10"/>
  <c r="AA6" i="10"/>
  <c r="AA7" i="10"/>
  <c r="AB7" i="10"/>
  <c r="F49" i="10" s="1"/>
  <c r="AA73" i="10"/>
  <c r="Z71" i="10"/>
  <c r="Z70" i="10"/>
  <c r="Z69" i="10"/>
  <c r="Z68" i="10"/>
  <c r="Z67" i="10"/>
  <c r="Z66" i="10"/>
  <c r="Z65" i="10"/>
  <c r="Z64" i="10"/>
  <c r="Z85" i="10"/>
  <c r="Z72" i="10" s="1"/>
  <c r="AA77" i="10"/>
  <c r="H202" i="11"/>
  <c r="K202" i="11"/>
  <c r="I202" i="11"/>
  <c r="G202" i="11"/>
  <c r="J247" i="11"/>
  <c r="N202" i="11"/>
  <c r="E247" i="11"/>
  <c r="O202" i="11"/>
  <c r="H247" i="11"/>
  <c r="D247" i="11"/>
  <c r="K247" i="11"/>
  <c r="L247" i="11"/>
  <c r="G246" i="11"/>
  <c r="G243" i="11"/>
  <c r="G244" i="11"/>
  <c r="G245" i="11"/>
  <c r="M247" i="11"/>
  <c r="F247" i="11"/>
  <c r="N244" i="11"/>
  <c r="N246" i="11"/>
  <c r="N245" i="11"/>
  <c r="N243" i="11"/>
  <c r="O245" i="11"/>
  <c r="O244" i="11"/>
  <c r="O243" i="11"/>
  <c r="O246" i="11"/>
  <c r="I243" i="11"/>
  <c r="I245" i="11"/>
  <c r="I246" i="11"/>
  <c r="I244" i="11"/>
  <c r="N242" i="11"/>
  <c r="J202" i="11"/>
  <c r="E202" i="11"/>
  <c r="M202" i="11"/>
  <c r="D202" i="11"/>
  <c r="AA13" i="10" l="1"/>
  <c r="G299" i="11"/>
  <c r="AB8" i="10"/>
  <c r="F50" i="10" s="1"/>
  <c r="AB9" i="10"/>
  <c r="F51" i="10" s="1"/>
  <c r="AB6" i="10"/>
  <c r="AB11" i="10"/>
  <c r="F53" i="10" s="1"/>
  <c r="AB10" i="10"/>
  <c r="F52" i="10" s="1"/>
  <c r="AB22" i="10"/>
  <c r="AA85" i="10"/>
  <c r="AA72" i="10" s="1"/>
  <c r="AB77" i="10"/>
  <c r="AB73" i="10"/>
  <c r="AA71" i="10"/>
  <c r="AA70" i="10"/>
  <c r="AA69" i="10"/>
  <c r="AA68" i="10"/>
  <c r="AA67" i="10"/>
  <c r="AA66" i="10"/>
  <c r="AA65" i="10"/>
  <c r="AA64" i="10"/>
  <c r="O247" i="11"/>
  <c r="G247" i="11"/>
  <c r="I247" i="11"/>
  <c r="N247" i="11"/>
  <c r="AB13" i="10" l="1"/>
  <c r="F48" i="10"/>
  <c r="F54" i="10" s="1"/>
  <c r="F187" i="10" s="1"/>
  <c r="AC10" i="10"/>
  <c r="AC22" i="10"/>
  <c r="AC11" i="10"/>
  <c r="AC8" i="10"/>
  <c r="AC9" i="10"/>
  <c r="AC6" i="10"/>
  <c r="AC7" i="10"/>
  <c r="AD7" i="10"/>
  <c r="H98" i="10"/>
  <c r="F186" i="10" s="1"/>
  <c r="AC73" i="10"/>
  <c r="AB71" i="10"/>
  <c r="H96" i="10" s="1"/>
  <c r="AB70" i="10"/>
  <c r="H95" i="10" s="1"/>
  <c r="AB69" i="10"/>
  <c r="H94" i="10" s="1"/>
  <c r="AB68" i="10"/>
  <c r="H93" i="10" s="1"/>
  <c r="AB67" i="10"/>
  <c r="H92" i="10" s="1"/>
  <c r="AB66" i="10"/>
  <c r="H91" i="10" s="1"/>
  <c r="AB65" i="10"/>
  <c r="H90" i="10" s="1"/>
  <c r="AB64" i="10"/>
  <c r="H89" i="10" s="1"/>
  <c r="AB85" i="10"/>
  <c r="AB72" i="10" s="1"/>
  <c r="H97" i="10" s="1"/>
  <c r="AC77" i="10"/>
  <c r="D448" i="2"/>
  <c r="E448" i="2"/>
  <c r="F448" i="2"/>
  <c r="G448" i="2"/>
  <c r="H448" i="2"/>
  <c r="I448" i="2"/>
  <c r="J448" i="2"/>
  <c r="K448" i="2"/>
  <c r="L448" i="2"/>
  <c r="M448" i="2"/>
  <c r="N448" i="2"/>
  <c r="C448" i="2"/>
  <c r="D447" i="2"/>
  <c r="E447" i="2"/>
  <c r="F447" i="2"/>
  <c r="G447" i="2"/>
  <c r="H447" i="2"/>
  <c r="I447" i="2"/>
  <c r="J447" i="2"/>
  <c r="K447" i="2"/>
  <c r="L447" i="2"/>
  <c r="M447" i="2"/>
  <c r="N447" i="2"/>
  <c r="C447" i="2"/>
  <c r="AC13" i="10" l="1"/>
  <c r="F189" i="10"/>
  <c r="AD8" i="10"/>
  <c r="AD9" i="10"/>
  <c r="AD6" i="10"/>
  <c r="AD11" i="10"/>
  <c r="AD10" i="10"/>
  <c r="AD22" i="10"/>
  <c r="AC85" i="10"/>
  <c r="AC72" i="10" s="1"/>
  <c r="AD77" i="10"/>
  <c r="AD73" i="10"/>
  <c r="AC71" i="10"/>
  <c r="AC70" i="10"/>
  <c r="AC69" i="10"/>
  <c r="AC68" i="10"/>
  <c r="AC67" i="10"/>
  <c r="AC66" i="10"/>
  <c r="AC65" i="10"/>
  <c r="AC64" i="10"/>
  <c r="D168" i="6"/>
  <c r="E168" i="6"/>
  <c r="F168" i="6"/>
  <c r="G168" i="6"/>
  <c r="H168" i="6"/>
  <c r="I168" i="6"/>
  <c r="J168" i="6"/>
  <c r="K168" i="6"/>
  <c r="L168" i="6"/>
  <c r="M168" i="6"/>
  <c r="N168" i="6"/>
  <c r="D166" i="6"/>
  <c r="E166" i="6"/>
  <c r="F166" i="6"/>
  <c r="G166" i="6"/>
  <c r="H166" i="6"/>
  <c r="I166" i="6"/>
  <c r="J166" i="6"/>
  <c r="K166" i="6"/>
  <c r="L166" i="6"/>
  <c r="M166" i="6"/>
  <c r="N166" i="6"/>
  <c r="C166" i="6"/>
  <c r="D162" i="6"/>
  <c r="E162" i="6"/>
  <c r="F162" i="6"/>
  <c r="G162" i="6"/>
  <c r="H162" i="6"/>
  <c r="I162" i="6"/>
  <c r="J162" i="6"/>
  <c r="K162" i="6"/>
  <c r="L162" i="6"/>
  <c r="M162" i="6"/>
  <c r="N162" i="6"/>
  <c r="C162" i="6"/>
  <c r="D160" i="6"/>
  <c r="E160" i="6"/>
  <c r="F160" i="6"/>
  <c r="G160" i="6"/>
  <c r="H160" i="6"/>
  <c r="I160" i="6"/>
  <c r="J160" i="6"/>
  <c r="K160" i="6"/>
  <c r="L160" i="6"/>
  <c r="M160" i="6"/>
  <c r="N160" i="6"/>
  <c r="C160" i="6"/>
  <c r="D159" i="6"/>
  <c r="E159" i="6"/>
  <c r="F159" i="6"/>
  <c r="G159" i="6"/>
  <c r="H159" i="6"/>
  <c r="I159" i="6"/>
  <c r="J159" i="6"/>
  <c r="K159" i="6"/>
  <c r="L159" i="6"/>
  <c r="M159" i="6"/>
  <c r="N159" i="6"/>
  <c r="C159" i="6"/>
  <c r="D158" i="6"/>
  <c r="E158" i="6"/>
  <c r="F158" i="6"/>
  <c r="G158" i="6"/>
  <c r="H158" i="6"/>
  <c r="I158" i="6"/>
  <c r="J158" i="6"/>
  <c r="K158" i="6"/>
  <c r="L158" i="6"/>
  <c r="M158" i="6"/>
  <c r="N158" i="6"/>
  <c r="C158" i="6"/>
  <c r="D157" i="6"/>
  <c r="E157" i="6"/>
  <c r="F157" i="6"/>
  <c r="G157" i="6"/>
  <c r="H157" i="6"/>
  <c r="I157" i="6"/>
  <c r="I172" i="6" s="1"/>
  <c r="J157" i="6"/>
  <c r="K157" i="6"/>
  <c r="L157" i="6"/>
  <c r="M157" i="6"/>
  <c r="N157" i="6"/>
  <c r="C157" i="6"/>
  <c r="C172" i="6" s="1"/>
  <c r="D152" i="6"/>
  <c r="E152" i="6"/>
  <c r="F152" i="6"/>
  <c r="G152" i="6"/>
  <c r="H152" i="6"/>
  <c r="I152" i="6"/>
  <c r="J152" i="6"/>
  <c r="K152" i="6"/>
  <c r="L152" i="6"/>
  <c r="M152" i="6"/>
  <c r="N152" i="6"/>
  <c r="C152" i="6"/>
  <c r="D151" i="6"/>
  <c r="E151" i="6"/>
  <c r="F151" i="6"/>
  <c r="G151" i="6"/>
  <c r="H151" i="6"/>
  <c r="I151" i="6"/>
  <c r="J151" i="6"/>
  <c r="K151" i="6"/>
  <c r="L151" i="6"/>
  <c r="M151" i="6"/>
  <c r="N151" i="6"/>
  <c r="C151" i="6"/>
  <c r="D150" i="6"/>
  <c r="E150" i="6"/>
  <c r="F150" i="6"/>
  <c r="G150" i="6"/>
  <c r="H150" i="6"/>
  <c r="I150" i="6"/>
  <c r="J150" i="6"/>
  <c r="K150" i="6"/>
  <c r="L150" i="6"/>
  <c r="M150" i="6"/>
  <c r="N150" i="6"/>
  <c r="C150" i="6"/>
  <c r="D149" i="6"/>
  <c r="E149" i="6"/>
  <c r="F149" i="6"/>
  <c r="G149" i="6"/>
  <c r="H149" i="6"/>
  <c r="I149" i="6"/>
  <c r="J149" i="6"/>
  <c r="K149" i="6"/>
  <c r="L149" i="6"/>
  <c r="M149" i="6"/>
  <c r="N149" i="6"/>
  <c r="D148" i="6"/>
  <c r="D171" i="6" s="1"/>
  <c r="E148" i="6"/>
  <c r="F148" i="6"/>
  <c r="F171" i="6" s="1"/>
  <c r="G148" i="6"/>
  <c r="G171" i="6" s="1"/>
  <c r="H148" i="6"/>
  <c r="H171" i="6" s="1"/>
  <c r="I148" i="6"/>
  <c r="I171" i="6" s="1"/>
  <c r="J148" i="6"/>
  <c r="J171" i="6" s="1"/>
  <c r="K148" i="6"/>
  <c r="K171" i="6" s="1"/>
  <c r="L148" i="6"/>
  <c r="L171" i="6" s="1"/>
  <c r="M148" i="6"/>
  <c r="M171" i="6" s="1"/>
  <c r="N148" i="6"/>
  <c r="C148" i="6"/>
  <c r="C149" i="6"/>
  <c r="AD13" i="10" l="1"/>
  <c r="AE10" i="10"/>
  <c r="AE22" i="10"/>
  <c r="AE11" i="10"/>
  <c r="AE8" i="10"/>
  <c r="AE9" i="10"/>
  <c r="AE6" i="10"/>
  <c r="AE13" i="10" s="1"/>
  <c r="AE7" i="10"/>
  <c r="AF7" i="10"/>
  <c r="AE73" i="10"/>
  <c r="AD71" i="10"/>
  <c r="AD70" i="10"/>
  <c r="AD69" i="10"/>
  <c r="AD68" i="10"/>
  <c r="AD67" i="10"/>
  <c r="AD66" i="10"/>
  <c r="AD65" i="10"/>
  <c r="AD64" i="10"/>
  <c r="AD85" i="10"/>
  <c r="AD72" i="10" s="1"/>
  <c r="AE77" i="10"/>
  <c r="C171" i="6"/>
  <c r="N181" i="6"/>
  <c r="N172" i="6"/>
  <c r="N171" i="6"/>
  <c r="M154" i="6"/>
  <c r="M173" i="6"/>
  <c r="M167" i="6" s="1"/>
  <c r="M181" i="6"/>
  <c r="M172" i="6"/>
  <c r="D154" i="6"/>
  <c r="D155" i="6" s="1"/>
  <c r="D143" i="6" s="1"/>
  <c r="D173" i="6"/>
  <c r="D167" i="6" s="1"/>
  <c r="N154" i="6"/>
  <c r="N155" i="6" s="1"/>
  <c r="N143" i="6" s="1"/>
  <c r="N173" i="6"/>
  <c r="N167" i="6" s="1"/>
  <c r="M212" i="1"/>
  <c r="M180" i="6"/>
  <c r="M212" i="13"/>
  <c r="M214" i="13" s="1"/>
  <c r="L154" i="6"/>
  <c r="L173" i="6"/>
  <c r="L167" i="6" s="1"/>
  <c r="L181" i="6"/>
  <c r="L172" i="6"/>
  <c r="C154" i="6"/>
  <c r="C173" i="6"/>
  <c r="C167" i="6" s="1"/>
  <c r="E154" i="6"/>
  <c r="E155" i="6" s="1"/>
  <c r="E143" i="6" s="1"/>
  <c r="E173" i="6"/>
  <c r="E167" i="6" s="1"/>
  <c r="D212" i="1"/>
  <c r="D180" i="6"/>
  <c r="D212" i="13"/>
  <c r="D214" i="13" s="1"/>
  <c r="K212" i="1"/>
  <c r="K180" i="6"/>
  <c r="K212" i="13"/>
  <c r="K214" i="13" s="1"/>
  <c r="J212" i="1"/>
  <c r="J180" i="6"/>
  <c r="J212" i="13"/>
  <c r="J214" i="13" s="1"/>
  <c r="I154" i="6"/>
  <c r="I155" i="6" s="1"/>
  <c r="I143" i="6" s="1"/>
  <c r="I173" i="6"/>
  <c r="I167" i="6" s="1"/>
  <c r="F212" i="1"/>
  <c r="F180" i="6"/>
  <c r="F212" i="13"/>
  <c r="F214" i="13" s="1"/>
  <c r="L212" i="1"/>
  <c r="L180" i="6"/>
  <c r="L212" i="13"/>
  <c r="L214" i="13" s="1"/>
  <c r="J181" i="6"/>
  <c r="J172" i="6"/>
  <c r="I212" i="1"/>
  <c r="I180" i="6"/>
  <c r="I212" i="13"/>
  <c r="I214" i="13" s="1"/>
  <c r="H154" i="6"/>
  <c r="H155" i="6" s="1"/>
  <c r="H143" i="6" s="1"/>
  <c r="H173" i="6"/>
  <c r="H167" i="6" s="1"/>
  <c r="H181" i="6"/>
  <c r="H172" i="6"/>
  <c r="D181" i="6"/>
  <c r="D172" i="6"/>
  <c r="K181" i="6"/>
  <c r="K172" i="6"/>
  <c r="H212" i="1"/>
  <c r="H180" i="6"/>
  <c r="H212" i="13"/>
  <c r="H214" i="13" s="1"/>
  <c r="G154" i="6"/>
  <c r="G155" i="6" s="1"/>
  <c r="G143" i="6" s="1"/>
  <c r="G173" i="6"/>
  <c r="G167" i="6" s="1"/>
  <c r="G181" i="6"/>
  <c r="G172" i="6"/>
  <c r="E181" i="6"/>
  <c r="E172" i="6"/>
  <c r="E171" i="6"/>
  <c r="K154" i="6"/>
  <c r="K173" i="6"/>
  <c r="K167" i="6" s="1"/>
  <c r="J154" i="6"/>
  <c r="J173" i="6"/>
  <c r="J167" i="6" s="1"/>
  <c r="G212" i="1"/>
  <c r="G180" i="6"/>
  <c r="G212" i="13"/>
  <c r="G214" i="13" s="1"/>
  <c r="F154" i="6"/>
  <c r="F173" i="6"/>
  <c r="F167" i="6" s="1"/>
  <c r="F181" i="6"/>
  <c r="F172" i="6"/>
  <c r="C155" i="6"/>
  <c r="C143" i="6" s="1"/>
  <c r="C181" i="6"/>
  <c r="I181" i="6"/>
  <c r="L155" i="6"/>
  <c r="L143" i="6" s="1"/>
  <c r="F155" i="6"/>
  <c r="F143" i="6" s="1"/>
  <c r="K155" i="6"/>
  <c r="K143" i="6" s="1"/>
  <c r="J164" i="6"/>
  <c r="J144" i="6" s="1"/>
  <c r="L164" i="6"/>
  <c r="L144" i="6" s="1"/>
  <c r="F164" i="6"/>
  <c r="F144" i="6" s="1"/>
  <c r="K164" i="6"/>
  <c r="K144" i="6" s="1"/>
  <c r="E164" i="6"/>
  <c r="E144" i="6" s="1"/>
  <c r="D164" i="6"/>
  <c r="D144" i="6" s="1"/>
  <c r="C164" i="6"/>
  <c r="C144" i="6" s="1"/>
  <c r="I164" i="6"/>
  <c r="I144" i="6" s="1"/>
  <c r="N164" i="6"/>
  <c r="N144" i="6" s="1"/>
  <c r="H164" i="6"/>
  <c r="H144" i="6" s="1"/>
  <c r="M155" i="6"/>
  <c r="M143" i="6" s="1"/>
  <c r="M164" i="6"/>
  <c r="M144" i="6" s="1"/>
  <c r="G164" i="6"/>
  <c r="G144" i="6" s="1"/>
  <c r="J155" i="6"/>
  <c r="J143" i="6" s="1"/>
  <c r="AF8" i="10" l="1"/>
  <c r="AF9" i="10"/>
  <c r="AF6" i="10"/>
  <c r="AF13" i="10" s="1"/>
  <c r="AF11" i="10"/>
  <c r="AF10" i="10"/>
  <c r="AF22" i="10"/>
  <c r="AE85" i="10"/>
  <c r="AE72" i="10" s="1"/>
  <c r="AF77" i="10"/>
  <c r="AF73" i="10"/>
  <c r="AE71" i="10"/>
  <c r="AE70" i="10"/>
  <c r="AE69" i="10"/>
  <c r="AE68" i="10"/>
  <c r="AE67" i="10"/>
  <c r="AE66" i="10"/>
  <c r="AE65" i="10"/>
  <c r="AE64" i="10"/>
  <c r="H215" i="13"/>
  <c r="H219" i="13" s="1"/>
  <c r="H221" i="13"/>
  <c r="J215" i="13"/>
  <c r="J219" i="13" s="1"/>
  <c r="J221" i="13"/>
  <c r="K215" i="13"/>
  <c r="K219" i="13" s="1"/>
  <c r="K221" i="13"/>
  <c r="G215" i="13"/>
  <c r="G219" i="13" s="1"/>
  <c r="G221" i="13"/>
  <c r="I215" i="13"/>
  <c r="I219" i="13" s="1"/>
  <c r="I221" i="13"/>
  <c r="I183" i="6"/>
  <c r="C182" i="6"/>
  <c r="L215" i="13"/>
  <c r="L219" i="13" s="1"/>
  <c r="L221" i="13"/>
  <c r="N212" i="1"/>
  <c r="N180" i="6"/>
  <c r="N212" i="13"/>
  <c r="N214" i="13" s="1"/>
  <c r="E212" i="1"/>
  <c r="E180" i="6"/>
  <c r="E212" i="13"/>
  <c r="E214" i="13" s="1"/>
  <c r="M215" i="13"/>
  <c r="M219" i="13" s="1"/>
  <c r="M221" i="13"/>
  <c r="I182" i="6"/>
  <c r="C183" i="6"/>
  <c r="C179" i="6" s="1"/>
  <c r="D215" i="13"/>
  <c r="D219" i="13" s="1"/>
  <c r="D221" i="13"/>
  <c r="F215" i="13"/>
  <c r="F219" i="13" s="1"/>
  <c r="F221" i="13"/>
  <c r="C212" i="1"/>
  <c r="C180" i="6"/>
  <c r="C212" i="13"/>
  <c r="C214" i="13" s="1"/>
  <c r="K182" i="6"/>
  <c r="K183" i="6"/>
  <c r="N182" i="6"/>
  <c r="N183" i="6"/>
  <c r="J182" i="6"/>
  <c r="J183" i="6"/>
  <c r="D182" i="6"/>
  <c r="D183" i="6"/>
  <c r="F182" i="6"/>
  <c r="F183" i="6"/>
  <c r="G182" i="6"/>
  <c r="G183" i="6"/>
  <c r="E182" i="6"/>
  <c r="E183" i="6"/>
  <c r="H182" i="6"/>
  <c r="H183" i="6"/>
  <c r="L182" i="6"/>
  <c r="L183" i="6"/>
  <c r="M182" i="6"/>
  <c r="M183" i="6"/>
  <c r="N101" i="6"/>
  <c r="N118" i="6"/>
  <c r="N117" i="6"/>
  <c r="N134" i="6"/>
  <c r="N133" i="6"/>
  <c r="C100" i="6"/>
  <c r="AG10" i="10" l="1"/>
  <c r="G52" i="10" s="1"/>
  <c r="AG22" i="10"/>
  <c r="AG11" i="10"/>
  <c r="G53" i="10" s="1"/>
  <c r="AG8" i="10"/>
  <c r="G50" i="10" s="1"/>
  <c r="AG9" i="10"/>
  <c r="G51" i="10" s="1"/>
  <c r="AG6" i="10"/>
  <c r="AG7" i="10"/>
  <c r="G49" i="10" s="1"/>
  <c r="AH7" i="10"/>
  <c r="AG73" i="10"/>
  <c r="AF71" i="10"/>
  <c r="AF70" i="10"/>
  <c r="AF69" i="10"/>
  <c r="AF68" i="10"/>
  <c r="AF67" i="10"/>
  <c r="AF66" i="10"/>
  <c r="AF65" i="10"/>
  <c r="AF64" i="10"/>
  <c r="AF85" i="10"/>
  <c r="AF72" i="10" s="1"/>
  <c r="AG77" i="10"/>
  <c r="N215" i="13"/>
  <c r="N219" i="13" s="1"/>
  <c r="N221" i="13"/>
  <c r="C215" i="13"/>
  <c r="C219" i="13" s="1"/>
  <c r="C221" i="13"/>
  <c r="E215" i="13"/>
  <c r="E219" i="13" s="1"/>
  <c r="E221" i="13"/>
  <c r="C50" i="6"/>
  <c r="G48" i="10" l="1"/>
  <c r="AG13" i="10"/>
  <c r="G54" i="10"/>
  <c r="G187" i="10" s="1"/>
  <c r="AH8" i="10"/>
  <c r="AH9" i="10"/>
  <c r="AH6" i="10"/>
  <c r="AH13" i="10" s="1"/>
  <c r="AH11" i="10"/>
  <c r="AH10" i="10"/>
  <c r="AH22" i="10"/>
  <c r="AG85" i="10"/>
  <c r="AG72" i="10" s="1"/>
  <c r="I97" i="10" s="1"/>
  <c r="AH77" i="10"/>
  <c r="I98" i="10"/>
  <c r="G186" i="10" s="1"/>
  <c r="AH73" i="10"/>
  <c r="AG71" i="10"/>
  <c r="I96" i="10" s="1"/>
  <c r="AG70" i="10"/>
  <c r="I95" i="10" s="1"/>
  <c r="AG69" i="10"/>
  <c r="I94" i="10" s="1"/>
  <c r="AG68" i="10"/>
  <c r="I93" i="10" s="1"/>
  <c r="AG67" i="10"/>
  <c r="I92" i="10" s="1"/>
  <c r="AG66" i="10"/>
  <c r="I91" i="10" s="1"/>
  <c r="AG65" i="10"/>
  <c r="I90" i="10" s="1"/>
  <c r="AG64" i="10"/>
  <c r="I89" i="10" s="1"/>
  <c r="D338" i="3"/>
  <c r="D353" i="3" s="1"/>
  <c r="D318" i="3" s="1"/>
  <c r="E338" i="3"/>
  <c r="E353" i="3" s="1"/>
  <c r="E318" i="3" s="1"/>
  <c r="F338" i="3"/>
  <c r="F353" i="3" s="1"/>
  <c r="F318" i="3" s="1"/>
  <c r="G338" i="3"/>
  <c r="G353" i="3" s="1"/>
  <c r="G318" i="3" s="1"/>
  <c r="H338" i="3"/>
  <c r="H353" i="3" s="1"/>
  <c r="H318" i="3" s="1"/>
  <c r="I338" i="3"/>
  <c r="I353" i="3" s="1"/>
  <c r="I318" i="3" s="1"/>
  <c r="J338" i="3"/>
  <c r="J353" i="3" s="1"/>
  <c r="J318" i="3" s="1"/>
  <c r="K338" i="3"/>
  <c r="K353" i="3" s="1"/>
  <c r="K318" i="3" s="1"/>
  <c r="L338" i="3"/>
  <c r="L353" i="3" s="1"/>
  <c r="L318" i="3" s="1"/>
  <c r="M338" i="3"/>
  <c r="M353" i="3" s="1"/>
  <c r="M318" i="3" s="1"/>
  <c r="N338" i="3"/>
  <c r="N353" i="3" s="1"/>
  <c r="N318" i="3" s="1"/>
  <c r="C338" i="3"/>
  <c r="C353" i="3" s="1"/>
  <c r="C318" i="3" s="1"/>
  <c r="N335" i="3"/>
  <c r="N333" i="3"/>
  <c r="N332" i="3"/>
  <c r="N331" i="3"/>
  <c r="D481" i="2"/>
  <c r="E481" i="2"/>
  <c r="F481" i="2"/>
  <c r="G481" i="2"/>
  <c r="H481" i="2"/>
  <c r="I481" i="2"/>
  <c r="J481" i="2"/>
  <c r="K481" i="2"/>
  <c r="L481" i="2"/>
  <c r="M481" i="2"/>
  <c r="N481" i="2"/>
  <c r="C481" i="2"/>
  <c r="D480" i="2"/>
  <c r="E480" i="2"/>
  <c r="F480" i="2"/>
  <c r="G480" i="2"/>
  <c r="H480" i="2"/>
  <c r="I480" i="2"/>
  <c r="J480" i="2"/>
  <c r="K480" i="2"/>
  <c r="L480" i="2"/>
  <c r="M480" i="2"/>
  <c r="N480" i="2"/>
  <c r="C480" i="2"/>
  <c r="E479" i="2"/>
  <c r="E501" i="2" s="1"/>
  <c r="F479" i="2"/>
  <c r="F501" i="2" s="1"/>
  <c r="G479" i="2"/>
  <c r="G501" i="2" s="1"/>
  <c r="H479" i="2"/>
  <c r="H501" i="2" s="1"/>
  <c r="I479" i="2"/>
  <c r="I501" i="2" s="1"/>
  <c r="J479" i="2"/>
  <c r="J501" i="2" s="1"/>
  <c r="K479" i="2"/>
  <c r="K501" i="2" s="1"/>
  <c r="L479" i="2"/>
  <c r="L501" i="2" s="1"/>
  <c r="M479" i="2"/>
  <c r="M501" i="2" s="1"/>
  <c r="N479" i="2"/>
  <c r="N501" i="2" s="1"/>
  <c r="D479" i="2"/>
  <c r="D501" i="2" s="1"/>
  <c r="C479" i="2"/>
  <c r="C501" i="2" s="1"/>
  <c r="D476" i="2"/>
  <c r="E476" i="2"/>
  <c r="F476" i="2"/>
  <c r="G476" i="2"/>
  <c r="H476" i="2"/>
  <c r="I476" i="2"/>
  <c r="J476" i="2"/>
  <c r="K476" i="2"/>
  <c r="L476" i="2"/>
  <c r="M476" i="2"/>
  <c r="N476" i="2"/>
  <c r="C476" i="2"/>
  <c r="D463" i="2"/>
  <c r="E463" i="2"/>
  <c r="F463" i="2"/>
  <c r="G463" i="2"/>
  <c r="H463" i="2"/>
  <c r="I463" i="2"/>
  <c r="J463" i="2"/>
  <c r="K463" i="2"/>
  <c r="L463" i="2"/>
  <c r="M463" i="2"/>
  <c r="N463" i="2"/>
  <c r="D464" i="2"/>
  <c r="E464" i="2"/>
  <c r="F464" i="2"/>
  <c r="G464" i="2"/>
  <c r="H464" i="2"/>
  <c r="I464" i="2"/>
  <c r="J464" i="2"/>
  <c r="K464" i="2"/>
  <c r="L464" i="2"/>
  <c r="M464" i="2"/>
  <c r="N464" i="2"/>
  <c r="D465" i="2"/>
  <c r="E465" i="2"/>
  <c r="F465" i="2"/>
  <c r="G465" i="2"/>
  <c r="H465" i="2"/>
  <c r="I465" i="2"/>
  <c r="J465" i="2"/>
  <c r="K465" i="2"/>
  <c r="L465" i="2"/>
  <c r="M465" i="2"/>
  <c r="N465" i="2"/>
  <c r="D466" i="2"/>
  <c r="E466" i="2"/>
  <c r="F466" i="2"/>
  <c r="G466" i="2"/>
  <c r="H466" i="2"/>
  <c r="I466" i="2"/>
  <c r="J466" i="2"/>
  <c r="K466" i="2"/>
  <c r="L466" i="2"/>
  <c r="M466" i="2"/>
  <c r="N466" i="2"/>
  <c r="D467" i="2"/>
  <c r="E467" i="2"/>
  <c r="F467" i="2"/>
  <c r="G467" i="2"/>
  <c r="H467" i="2"/>
  <c r="I467" i="2"/>
  <c r="J467" i="2"/>
  <c r="K467" i="2"/>
  <c r="L467" i="2"/>
  <c r="M467" i="2"/>
  <c r="N467" i="2"/>
  <c r="D468" i="2"/>
  <c r="E468" i="2"/>
  <c r="F468" i="2"/>
  <c r="G468" i="2"/>
  <c r="H468" i="2"/>
  <c r="I468" i="2"/>
  <c r="J468" i="2"/>
  <c r="K468" i="2"/>
  <c r="L468" i="2"/>
  <c r="M468" i="2"/>
  <c r="N468" i="2"/>
  <c r="D469" i="2"/>
  <c r="E469" i="2"/>
  <c r="F469" i="2"/>
  <c r="G469" i="2"/>
  <c r="H469" i="2"/>
  <c r="I469" i="2"/>
  <c r="J469" i="2"/>
  <c r="K469" i="2"/>
  <c r="L469" i="2"/>
  <c r="M469" i="2"/>
  <c r="N469" i="2"/>
  <c r="D470" i="2"/>
  <c r="E470" i="2"/>
  <c r="F470" i="2"/>
  <c r="G470" i="2"/>
  <c r="H470" i="2"/>
  <c r="I470" i="2"/>
  <c r="J470" i="2"/>
  <c r="K470" i="2"/>
  <c r="L470" i="2"/>
  <c r="M470" i="2"/>
  <c r="N470" i="2"/>
  <c r="D471" i="2"/>
  <c r="E471" i="2"/>
  <c r="F471" i="2"/>
  <c r="G471" i="2"/>
  <c r="H471" i="2"/>
  <c r="I471" i="2"/>
  <c r="J471" i="2"/>
  <c r="K471" i="2"/>
  <c r="L471" i="2"/>
  <c r="M471" i="2"/>
  <c r="N471" i="2"/>
  <c r="D472" i="2"/>
  <c r="E472" i="2"/>
  <c r="F472" i="2"/>
  <c r="G472" i="2"/>
  <c r="H472" i="2"/>
  <c r="I472" i="2"/>
  <c r="J472" i="2"/>
  <c r="K472" i="2"/>
  <c r="L472" i="2"/>
  <c r="M472" i="2"/>
  <c r="N472" i="2"/>
  <c r="D473" i="2"/>
  <c r="E473" i="2"/>
  <c r="F473" i="2"/>
  <c r="G473" i="2"/>
  <c r="H473" i="2"/>
  <c r="I473" i="2"/>
  <c r="J473" i="2"/>
  <c r="K473" i="2"/>
  <c r="L473" i="2"/>
  <c r="M473" i="2"/>
  <c r="N473" i="2"/>
  <c r="D474" i="2"/>
  <c r="E474" i="2"/>
  <c r="F474" i="2"/>
  <c r="G474" i="2"/>
  <c r="H474" i="2"/>
  <c r="I474" i="2"/>
  <c r="J474" i="2"/>
  <c r="K474" i="2"/>
  <c r="L474" i="2"/>
  <c r="M474" i="2"/>
  <c r="N474" i="2"/>
  <c r="C464" i="2"/>
  <c r="C465" i="2"/>
  <c r="C466" i="2"/>
  <c r="C468" i="2"/>
  <c r="C469" i="2"/>
  <c r="C470" i="2"/>
  <c r="C471" i="2"/>
  <c r="C472" i="2"/>
  <c r="C473" i="2"/>
  <c r="C474" i="2"/>
  <c r="C463" i="2"/>
  <c r="D462" i="2"/>
  <c r="E462" i="2"/>
  <c r="F462" i="2"/>
  <c r="G462" i="2"/>
  <c r="H462" i="2"/>
  <c r="I462" i="2"/>
  <c r="J462" i="2"/>
  <c r="K462" i="2"/>
  <c r="L462" i="2"/>
  <c r="M462" i="2"/>
  <c r="N462" i="2"/>
  <c r="C462" i="2"/>
  <c r="F461" i="2"/>
  <c r="G461" i="2"/>
  <c r="H461" i="2"/>
  <c r="I461" i="2"/>
  <c r="J461" i="2"/>
  <c r="K461" i="2"/>
  <c r="L461" i="2"/>
  <c r="M461" i="2"/>
  <c r="N461" i="2"/>
  <c r="E461" i="2"/>
  <c r="D461" i="2"/>
  <c r="C461" i="2"/>
  <c r="D191" i="1"/>
  <c r="E191" i="1"/>
  <c r="F191" i="1"/>
  <c r="G191" i="1"/>
  <c r="H191" i="1"/>
  <c r="I191" i="1"/>
  <c r="J191" i="1"/>
  <c r="K191" i="1"/>
  <c r="L191" i="1"/>
  <c r="M191" i="1"/>
  <c r="N191" i="1"/>
  <c r="C191" i="1"/>
  <c r="D194" i="1"/>
  <c r="E194" i="1"/>
  <c r="F194" i="1"/>
  <c r="G194" i="1"/>
  <c r="H194" i="1"/>
  <c r="I194" i="1"/>
  <c r="J194" i="1"/>
  <c r="K194" i="1"/>
  <c r="L194" i="1"/>
  <c r="M194" i="1"/>
  <c r="N194" i="1"/>
  <c r="C194" i="1"/>
  <c r="D193" i="1"/>
  <c r="E193" i="1"/>
  <c r="F193" i="1"/>
  <c r="G193" i="1"/>
  <c r="H193" i="1"/>
  <c r="I193" i="1"/>
  <c r="J193" i="1"/>
  <c r="K193" i="1"/>
  <c r="L193" i="1"/>
  <c r="M193" i="1"/>
  <c r="N193" i="1"/>
  <c r="C193" i="1"/>
  <c r="D192" i="1"/>
  <c r="D483" i="2" s="1"/>
  <c r="E192" i="1"/>
  <c r="E483" i="2" s="1"/>
  <c r="F192" i="1"/>
  <c r="F483" i="2" s="1"/>
  <c r="G192" i="1"/>
  <c r="G483" i="2" s="1"/>
  <c r="H192" i="1"/>
  <c r="H483" i="2" s="1"/>
  <c r="I192" i="1"/>
  <c r="I483" i="2" s="1"/>
  <c r="J192" i="1"/>
  <c r="J483" i="2" s="1"/>
  <c r="K192" i="1"/>
  <c r="K483" i="2" s="1"/>
  <c r="L192" i="1"/>
  <c r="L483" i="2" s="1"/>
  <c r="M192" i="1"/>
  <c r="M483" i="2" s="1"/>
  <c r="N192" i="1"/>
  <c r="N483" i="2" s="1"/>
  <c r="C192" i="1"/>
  <c r="C483" i="2" s="1"/>
  <c r="D190" i="1"/>
  <c r="E190" i="1"/>
  <c r="F190" i="1"/>
  <c r="G190" i="1"/>
  <c r="H190" i="1"/>
  <c r="I190" i="1"/>
  <c r="J190" i="1"/>
  <c r="K190" i="1"/>
  <c r="L190" i="1"/>
  <c r="M190" i="1"/>
  <c r="N190" i="1"/>
  <c r="N220" i="1" s="1"/>
  <c r="C190" i="1"/>
  <c r="C195" i="1" s="1"/>
  <c r="D134" i="6"/>
  <c r="E134" i="6"/>
  <c r="F134" i="6"/>
  <c r="G134" i="6"/>
  <c r="H134" i="6"/>
  <c r="I134" i="6"/>
  <c r="J134" i="6"/>
  <c r="K134" i="6"/>
  <c r="L134" i="6"/>
  <c r="M134" i="6"/>
  <c r="C134" i="6"/>
  <c r="D133" i="6"/>
  <c r="E133" i="6"/>
  <c r="F133" i="6"/>
  <c r="G133" i="6"/>
  <c r="H133" i="6"/>
  <c r="I133" i="6"/>
  <c r="J133" i="6"/>
  <c r="K133" i="6"/>
  <c r="L133" i="6"/>
  <c r="M133" i="6"/>
  <c r="C133" i="6"/>
  <c r="D118" i="6"/>
  <c r="E118" i="6"/>
  <c r="F118" i="6"/>
  <c r="G118" i="6"/>
  <c r="H118" i="6"/>
  <c r="I118" i="6"/>
  <c r="J118" i="6"/>
  <c r="K118" i="6"/>
  <c r="L118" i="6"/>
  <c r="M118" i="6"/>
  <c r="C118" i="6"/>
  <c r="D101" i="6"/>
  <c r="E101" i="6"/>
  <c r="F101" i="6"/>
  <c r="G101" i="6"/>
  <c r="H101" i="6"/>
  <c r="I101" i="6"/>
  <c r="J101" i="6"/>
  <c r="K101" i="6"/>
  <c r="L101" i="6"/>
  <c r="M101" i="6"/>
  <c r="C101" i="6"/>
  <c r="D117" i="6"/>
  <c r="E117" i="6"/>
  <c r="F117" i="6"/>
  <c r="G117" i="6"/>
  <c r="H117" i="6"/>
  <c r="I117" i="6"/>
  <c r="J117" i="6"/>
  <c r="K117" i="6"/>
  <c r="L117" i="6"/>
  <c r="M117" i="6"/>
  <c r="C117" i="6"/>
  <c r="D100" i="6"/>
  <c r="E100" i="6"/>
  <c r="F100" i="6"/>
  <c r="G100" i="6"/>
  <c r="H100" i="6"/>
  <c r="I100" i="6"/>
  <c r="J100" i="6"/>
  <c r="K100" i="6"/>
  <c r="L100" i="6"/>
  <c r="M100" i="6"/>
  <c r="N100" i="6"/>
  <c r="D59" i="6"/>
  <c r="E59" i="6"/>
  <c r="F59" i="6"/>
  <c r="G59" i="6"/>
  <c r="H59" i="6"/>
  <c r="I59" i="6"/>
  <c r="J59" i="6"/>
  <c r="K59" i="6"/>
  <c r="L59" i="6"/>
  <c r="M59" i="6"/>
  <c r="N59" i="6"/>
  <c r="C59" i="6"/>
  <c r="D50" i="6"/>
  <c r="E50" i="6"/>
  <c r="F50" i="6"/>
  <c r="G50" i="6"/>
  <c r="H50" i="6"/>
  <c r="I50" i="6"/>
  <c r="J50" i="6"/>
  <c r="K50" i="6"/>
  <c r="L50" i="6"/>
  <c r="M50" i="6"/>
  <c r="N50" i="6"/>
  <c r="D19" i="6"/>
  <c r="E19" i="6"/>
  <c r="F19" i="6"/>
  <c r="G19" i="6"/>
  <c r="H19" i="6"/>
  <c r="I19" i="6"/>
  <c r="J19" i="6"/>
  <c r="K19" i="6"/>
  <c r="L19" i="6"/>
  <c r="M19" i="6"/>
  <c r="N19" i="6"/>
  <c r="C19" i="6"/>
  <c r="D18" i="6"/>
  <c r="E18" i="6"/>
  <c r="F18" i="6"/>
  <c r="G18" i="6"/>
  <c r="H18" i="6"/>
  <c r="I18" i="6"/>
  <c r="J18" i="6"/>
  <c r="K18" i="6"/>
  <c r="L18" i="6"/>
  <c r="M18" i="6"/>
  <c r="N18" i="6"/>
  <c r="C18" i="6"/>
  <c r="N209" i="3"/>
  <c r="N199" i="3"/>
  <c r="N184" i="3"/>
  <c r="G323" i="3"/>
  <c r="N192" i="3"/>
  <c r="L323" i="3"/>
  <c r="K323" i="3"/>
  <c r="C335" i="3"/>
  <c r="D335" i="3"/>
  <c r="E335" i="3"/>
  <c r="F335" i="3"/>
  <c r="G335" i="3"/>
  <c r="H335" i="3"/>
  <c r="I335" i="3"/>
  <c r="J335" i="3"/>
  <c r="K335" i="3"/>
  <c r="L335" i="3"/>
  <c r="M335" i="3"/>
  <c r="D333" i="3"/>
  <c r="E333" i="3"/>
  <c r="F333" i="3"/>
  <c r="G333" i="3"/>
  <c r="H333" i="3"/>
  <c r="I333" i="3"/>
  <c r="J333" i="3"/>
  <c r="K333" i="3"/>
  <c r="L333" i="3"/>
  <c r="M333" i="3"/>
  <c r="C333" i="3"/>
  <c r="D332" i="3"/>
  <c r="E332" i="3"/>
  <c r="F332" i="3"/>
  <c r="G332" i="3"/>
  <c r="H332" i="3"/>
  <c r="I332" i="3"/>
  <c r="J332" i="3"/>
  <c r="K332" i="3"/>
  <c r="L332" i="3"/>
  <c r="M332" i="3"/>
  <c r="C332" i="3"/>
  <c r="D331" i="3"/>
  <c r="E331" i="3"/>
  <c r="F331" i="3"/>
  <c r="G331" i="3"/>
  <c r="H331" i="3"/>
  <c r="I331" i="3"/>
  <c r="J331" i="3"/>
  <c r="K331" i="3"/>
  <c r="L331" i="3"/>
  <c r="M331" i="3"/>
  <c r="C331" i="3"/>
  <c r="D326" i="3"/>
  <c r="E326" i="3"/>
  <c r="F326" i="3"/>
  <c r="G326" i="3"/>
  <c r="H326" i="3"/>
  <c r="I326" i="3"/>
  <c r="J326" i="3"/>
  <c r="K326" i="3"/>
  <c r="L326" i="3"/>
  <c r="M326" i="3"/>
  <c r="N326" i="3"/>
  <c r="C326" i="3"/>
  <c r="D325" i="3"/>
  <c r="E325" i="3"/>
  <c r="F325" i="3"/>
  <c r="G325" i="3"/>
  <c r="H325" i="3"/>
  <c r="I325" i="3"/>
  <c r="J325" i="3"/>
  <c r="K325" i="3"/>
  <c r="L325" i="3"/>
  <c r="M325" i="3"/>
  <c r="N325" i="3"/>
  <c r="C325" i="3"/>
  <c r="D324" i="3"/>
  <c r="E324" i="3"/>
  <c r="F324" i="3"/>
  <c r="G324" i="3"/>
  <c r="H324" i="3"/>
  <c r="I324" i="3"/>
  <c r="J324" i="3"/>
  <c r="K324" i="3"/>
  <c r="L324" i="3"/>
  <c r="M324" i="3"/>
  <c r="N324" i="3"/>
  <c r="C324" i="3"/>
  <c r="D323" i="3"/>
  <c r="E323" i="3"/>
  <c r="E327" i="3" s="1"/>
  <c r="F323" i="3"/>
  <c r="F327" i="3" s="1"/>
  <c r="H323" i="3"/>
  <c r="I323" i="3"/>
  <c r="J323" i="3"/>
  <c r="M323" i="3"/>
  <c r="N323" i="3"/>
  <c r="C323" i="3"/>
  <c r="G189" i="10" l="1"/>
  <c r="E216" i="10" s="1"/>
  <c r="AI10" i="10"/>
  <c r="AI22" i="10"/>
  <c r="AI11" i="10"/>
  <c r="AI8" i="10"/>
  <c r="AI9" i="10"/>
  <c r="AI6" i="10"/>
  <c r="AI7" i="10"/>
  <c r="AJ7" i="10"/>
  <c r="AI73" i="10"/>
  <c r="AH71" i="10"/>
  <c r="AH70" i="10"/>
  <c r="AH69" i="10"/>
  <c r="AH68" i="10"/>
  <c r="AH67" i="10"/>
  <c r="AH66" i="10"/>
  <c r="AH65" i="10"/>
  <c r="AH64" i="10"/>
  <c r="AH85" i="10"/>
  <c r="AH72" i="10" s="1"/>
  <c r="AI77" i="10"/>
  <c r="J327" i="3"/>
  <c r="N367" i="3"/>
  <c r="N365" i="3"/>
  <c r="N366" i="3"/>
  <c r="H367" i="3"/>
  <c r="H365" i="3"/>
  <c r="H366" i="3"/>
  <c r="M365" i="3"/>
  <c r="M366" i="3"/>
  <c r="M367" i="3"/>
  <c r="G365" i="3"/>
  <c r="G366" i="3"/>
  <c r="G367" i="3"/>
  <c r="L366" i="3"/>
  <c r="L367" i="3"/>
  <c r="L365" i="3"/>
  <c r="F366" i="3"/>
  <c r="F367" i="3"/>
  <c r="F365" i="3"/>
  <c r="K367" i="3"/>
  <c r="K365" i="3"/>
  <c r="K366" i="3"/>
  <c r="E367" i="3"/>
  <c r="E365" i="3"/>
  <c r="E366" i="3"/>
  <c r="J367" i="3"/>
  <c r="J365" i="3"/>
  <c r="J366" i="3"/>
  <c r="D367" i="3"/>
  <c r="D365" i="3"/>
  <c r="D366" i="3"/>
  <c r="C366" i="3"/>
  <c r="C367" i="3"/>
  <c r="C365" i="3"/>
  <c r="I367" i="3"/>
  <c r="I365" i="3"/>
  <c r="I366" i="3"/>
  <c r="M327" i="3"/>
  <c r="N327" i="3"/>
  <c r="N328" i="3" s="1"/>
  <c r="N317" i="3" s="1"/>
  <c r="H475" i="2"/>
  <c r="L475" i="2"/>
  <c r="H327" i="3"/>
  <c r="H328" i="3" s="1"/>
  <c r="H317" i="3" s="1"/>
  <c r="I327" i="3"/>
  <c r="I328" i="3" s="1"/>
  <c r="I317" i="3" s="1"/>
  <c r="G327" i="3"/>
  <c r="G328" i="3" s="1"/>
  <c r="G317" i="3" s="1"/>
  <c r="K475" i="2"/>
  <c r="G475" i="2"/>
  <c r="M475" i="2"/>
  <c r="J475" i="2"/>
  <c r="F475" i="2"/>
  <c r="N475" i="2"/>
  <c r="I475" i="2"/>
  <c r="E475" i="2"/>
  <c r="D475" i="2"/>
  <c r="C475" i="2"/>
  <c r="K327" i="3"/>
  <c r="K328" i="3" s="1"/>
  <c r="K317" i="3" s="1"/>
  <c r="L327" i="3"/>
  <c r="L328" i="3" s="1"/>
  <c r="L317" i="3" s="1"/>
  <c r="D327" i="3"/>
  <c r="D328" i="3" s="1"/>
  <c r="D317" i="3" s="1"/>
  <c r="F328" i="3"/>
  <c r="F317" i="3" s="1"/>
  <c r="C327" i="3"/>
  <c r="C328" i="3" s="1"/>
  <c r="C317" i="3" s="1"/>
  <c r="E328" i="3"/>
  <c r="E317" i="3" s="1"/>
  <c r="M328" i="3"/>
  <c r="M317" i="3" s="1"/>
  <c r="J328" i="3"/>
  <c r="J317" i="3" s="1"/>
  <c r="AI13" i="10" l="1"/>
  <c r="E217" i="10"/>
  <c r="E214" i="10"/>
  <c r="E215" i="10"/>
  <c r="E218" i="10"/>
  <c r="AJ8" i="10"/>
  <c r="AJ9" i="10"/>
  <c r="AJ6" i="10"/>
  <c r="AJ13" i="10" s="1"/>
  <c r="AJ11" i="10"/>
  <c r="AJ10" i="10"/>
  <c r="AJ22" i="10"/>
  <c r="AI85" i="10"/>
  <c r="AI72" i="10" s="1"/>
  <c r="AJ77" i="10"/>
  <c r="AJ73" i="10"/>
  <c r="AI71" i="10"/>
  <c r="AI70" i="10"/>
  <c r="AI69" i="10"/>
  <c r="AI68" i="10"/>
  <c r="AI67" i="10"/>
  <c r="AI66" i="10"/>
  <c r="AI65" i="10"/>
  <c r="AI64" i="10"/>
  <c r="D209" i="3"/>
  <c r="E209" i="3"/>
  <c r="F209" i="3"/>
  <c r="G209" i="3"/>
  <c r="H209" i="3"/>
  <c r="I209" i="3"/>
  <c r="J209" i="3"/>
  <c r="K209" i="3"/>
  <c r="L209" i="3"/>
  <c r="M209" i="3"/>
  <c r="C209" i="3"/>
  <c r="D199" i="3"/>
  <c r="E199" i="3"/>
  <c r="F199" i="3"/>
  <c r="G199" i="3"/>
  <c r="H199" i="3"/>
  <c r="I199" i="3"/>
  <c r="J199" i="3"/>
  <c r="K199" i="3"/>
  <c r="L199" i="3"/>
  <c r="M199" i="3"/>
  <c r="C199" i="3"/>
  <c r="D192" i="3"/>
  <c r="E192" i="3"/>
  <c r="F192" i="3"/>
  <c r="G192" i="3"/>
  <c r="H192" i="3"/>
  <c r="I192" i="3"/>
  <c r="J192" i="3"/>
  <c r="K192" i="3"/>
  <c r="L192" i="3"/>
  <c r="M192" i="3"/>
  <c r="C192" i="3"/>
  <c r="D184" i="3"/>
  <c r="E184" i="3"/>
  <c r="F184" i="3"/>
  <c r="G184" i="3"/>
  <c r="H184" i="3"/>
  <c r="I184" i="3"/>
  <c r="J184" i="3"/>
  <c r="K184" i="3"/>
  <c r="L184" i="3"/>
  <c r="M184" i="3"/>
  <c r="C184" i="3"/>
  <c r="D125" i="3"/>
  <c r="E125" i="3"/>
  <c r="F125" i="3"/>
  <c r="G125" i="3"/>
  <c r="H125" i="3"/>
  <c r="I125" i="3"/>
  <c r="J125" i="3"/>
  <c r="K125" i="3"/>
  <c r="L125" i="3"/>
  <c r="M125" i="3"/>
  <c r="N125" i="3"/>
  <c r="C125" i="3"/>
  <c r="D116" i="3"/>
  <c r="E116" i="3"/>
  <c r="F116" i="3"/>
  <c r="G116" i="3"/>
  <c r="H116" i="3"/>
  <c r="I116" i="3"/>
  <c r="J116" i="3"/>
  <c r="K116" i="3"/>
  <c r="L116" i="3"/>
  <c r="M116" i="3"/>
  <c r="N116" i="3"/>
  <c r="C116" i="3"/>
  <c r="D111" i="3"/>
  <c r="E111" i="3"/>
  <c r="F111" i="3"/>
  <c r="G111" i="3"/>
  <c r="H111" i="3"/>
  <c r="I111" i="3"/>
  <c r="J111" i="3"/>
  <c r="K111" i="3"/>
  <c r="L111" i="3"/>
  <c r="M111" i="3"/>
  <c r="N111" i="3"/>
  <c r="C111" i="3"/>
  <c r="D104" i="3"/>
  <c r="E104" i="3"/>
  <c r="F104" i="3"/>
  <c r="G104" i="3"/>
  <c r="H104" i="3"/>
  <c r="I104" i="3"/>
  <c r="J104" i="3"/>
  <c r="K104" i="3"/>
  <c r="L104" i="3"/>
  <c r="M104" i="3"/>
  <c r="N104" i="3"/>
  <c r="C104" i="3"/>
  <c r="D99" i="3"/>
  <c r="E99" i="3"/>
  <c r="F99" i="3"/>
  <c r="G99" i="3"/>
  <c r="H99" i="3"/>
  <c r="I99" i="3"/>
  <c r="J99" i="3"/>
  <c r="K99" i="3"/>
  <c r="L99" i="3"/>
  <c r="M99" i="3"/>
  <c r="N99" i="3"/>
  <c r="C99" i="3"/>
  <c r="D88" i="3"/>
  <c r="E88" i="3"/>
  <c r="F88" i="3"/>
  <c r="G88" i="3"/>
  <c r="H88" i="3"/>
  <c r="I88" i="3"/>
  <c r="J88" i="3"/>
  <c r="K88" i="3"/>
  <c r="L88" i="3"/>
  <c r="M88" i="3"/>
  <c r="N88" i="3"/>
  <c r="C88" i="3"/>
  <c r="N78" i="3"/>
  <c r="M78" i="3"/>
  <c r="L78" i="3"/>
  <c r="K78" i="3"/>
  <c r="J78" i="3"/>
  <c r="I78" i="3"/>
  <c r="H78" i="3"/>
  <c r="G78" i="3"/>
  <c r="F78" i="3"/>
  <c r="E78" i="3"/>
  <c r="D78" i="3"/>
  <c r="C78" i="3"/>
  <c r="D66" i="3"/>
  <c r="E66" i="3"/>
  <c r="F66" i="3"/>
  <c r="G66" i="3"/>
  <c r="H66" i="3"/>
  <c r="I66" i="3"/>
  <c r="J66" i="3"/>
  <c r="K66" i="3"/>
  <c r="L66" i="3"/>
  <c r="M66" i="3"/>
  <c r="N66" i="3"/>
  <c r="C66" i="3"/>
  <c r="D49" i="3"/>
  <c r="D56" i="3" s="1"/>
  <c r="E49" i="3"/>
  <c r="E56" i="3" s="1"/>
  <c r="F49" i="3"/>
  <c r="F56" i="3" s="1"/>
  <c r="G49" i="3"/>
  <c r="G56" i="3" s="1"/>
  <c r="H49" i="3"/>
  <c r="H56" i="3" s="1"/>
  <c r="I49" i="3"/>
  <c r="I56" i="3" s="1"/>
  <c r="J49" i="3"/>
  <c r="J56" i="3" s="1"/>
  <c r="K49" i="3"/>
  <c r="K56" i="3" s="1"/>
  <c r="L49" i="3"/>
  <c r="L56" i="3" s="1"/>
  <c r="M49" i="3"/>
  <c r="M56" i="3" s="1"/>
  <c r="N49" i="3"/>
  <c r="N56" i="3" s="1"/>
  <c r="C49" i="3"/>
  <c r="C56" i="3" s="1"/>
  <c r="D39" i="3"/>
  <c r="E39" i="3"/>
  <c r="F39" i="3"/>
  <c r="G39" i="3"/>
  <c r="H39" i="3"/>
  <c r="I39" i="3"/>
  <c r="J39" i="3"/>
  <c r="K39" i="3"/>
  <c r="L39" i="3"/>
  <c r="M39" i="3"/>
  <c r="N39" i="3"/>
  <c r="C39" i="3"/>
  <c r="D30" i="3"/>
  <c r="E30" i="3"/>
  <c r="F30" i="3"/>
  <c r="G30" i="3"/>
  <c r="H30" i="3"/>
  <c r="I30" i="3"/>
  <c r="J30" i="3"/>
  <c r="K30" i="3"/>
  <c r="L30" i="3"/>
  <c r="M30" i="3"/>
  <c r="N30" i="3"/>
  <c r="C30" i="3"/>
  <c r="F1" i="5"/>
  <c r="D8" i="3"/>
  <c r="E8" i="3"/>
  <c r="F8" i="3"/>
  <c r="G8" i="3"/>
  <c r="H8" i="3"/>
  <c r="I8" i="3"/>
  <c r="J8" i="3"/>
  <c r="K8" i="3"/>
  <c r="L8" i="3"/>
  <c r="M8" i="3"/>
  <c r="N8" i="3"/>
  <c r="C8" i="3"/>
  <c r="C360" i="3" s="1"/>
  <c r="E219" i="10" l="1"/>
  <c r="AK10" i="10"/>
  <c r="AK22" i="10"/>
  <c r="AK11" i="10"/>
  <c r="AK8" i="10"/>
  <c r="AK9" i="10"/>
  <c r="AK6" i="10"/>
  <c r="AK7" i="10"/>
  <c r="AL7" i="10"/>
  <c r="H49" i="10" s="1"/>
  <c r="AK73" i="10"/>
  <c r="AJ71" i="10"/>
  <c r="AJ70" i="10"/>
  <c r="AJ69" i="10"/>
  <c r="AJ68" i="10"/>
  <c r="AJ67" i="10"/>
  <c r="AJ66" i="10"/>
  <c r="AJ65" i="10"/>
  <c r="AJ64" i="10"/>
  <c r="AJ85" i="10"/>
  <c r="AJ72" i="10" s="1"/>
  <c r="AK77" i="10"/>
  <c r="C12" i="3"/>
  <c r="N20" i="3"/>
  <c r="N360" i="3"/>
  <c r="K12" i="3"/>
  <c r="K360" i="3"/>
  <c r="D12" i="3"/>
  <c r="D360" i="3"/>
  <c r="I20" i="3"/>
  <c r="I360" i="3"/>
  <c r="H20" i="3"/>
  <c r="H360" i="3"/>
  <c r="M12" i="3"/>
  <c r="M360" i="3"/>
  <c r="G12" i="3"/>
  <c r="G360" i="3"/>
  <c r="E12" i="3"/>
  <c r="E360" i="3"/>
  <c r="J12" i="3"/>
  <c r="J360" i="3"/>
  <c r="L20" i="3"/>
  <c r="L360" i="3"/>
  <c r="F20" i="3"/>
  <c r="F360" i="3"/>
  <c r="C482" i="2"/>
  <c r="N482" i="2"/>
  <c r="E482" i="2"/>
  <c r="F12" i="3"/>
  <c r="H482" i="2"/>
  <c r="L12" i="3"/>
  <c r="E20" i="3"/>
  <c r="M20" i="3"/>
  <c r="K20" i="3"/>
  <c r="G20" i="3"/>
  <c r="N12" i="3"/>
  <c r="H12" i="3"/>
  <c r="J20" i="3"/>
  <c r="D20" i="3"/>
  <c r="I12" i="3"/>
  <c r="C20" i="3"/>
  <c r="I482" i="2"/>
  <c r="N205" i="1"/>
  <c r="N204" i="1"/>
  <c r="AK13" i="10" l="1"/>
  <c r="AL8" i="10"/>
  <c r="H50" i="10" s="1"/>
  <c r="AL6" i="10"/>
  <c r="AL11" i="10"/>
  <c r="H53" i="10" s="1"/>
  <c r="AL10" i="10"/>
  <c r="H52" i="10" s="1"/>
  <c r="AL22" i="10"/>
  <c r="AK85" i="10"/>
  <c r="AK72" i="10" s="1"/>
  <c r="AL77" i="10"/>
  <c r="AL73" i="10"/>
  <c r="AK71" i="10"/>
  <c r="AK70" i="10"/>
  <c r="AK69" i="10"/>
  <c r="AK68" i="10"/>
  <c r="AK67" i="10"/>
  <c r="AK66" i="10"/>
  <c r="AK65" i="10"/>
  <c r="AK64" i="10"/>
  <c r="G482" i="2"/>
  <c r="F482" i="2"/>
  <c r="K482" i="2"/>
  <c r="M482" i="2"/>
  <c r="L482" i="2"/>
  <c r="D482" i="2"/>
  <c r="J482" i="2"/>
  <c r="J484" i="2" s="1"/>
  <c r="J425" i="2" s="1"/>
  <c r="C204" i="1"/>
  <c r="C200" i="1"/>
  <c r="D195" i="1"/>
  <c r="E195" i="1"/>
  <c r="F195" i="1"/>
  <c r="G195" i="1"/>
  <c r="H195" i="1"/>
  <c r="I195" i="1"/>
  <c r="J195" i="1"/>
  <c r="K195" i="1"/>
  <c r="L195" i="1"/>
  <c r="M195" i="1"/>
  <c r="N195" i="1"/>
  <c r="E484" i="2"/>
  <c r="E425" i="2" s="1"/>
  <c r="H484" i="2"/>
  <c r="H425" i="2" s="1"/>
  <c r="N484" i="2"/>
  <c r="N425" i="2" s="1"/>
  <c r="C484" i="2"/>
  <c r="C425" i="2" s="1"/>
  <c r="I484" i="2"/>
  <c r="I425" i="2" s="1"/>
  <c r="E477" i="2"/>
  <c r="E424" i="2" s="1"/>
  <c r="H477" i="2"/>
  <c r="H424" i="2" s="1"/>
  <c r="I477" i="2"/>
  <c r="I424" i="2" s="1"/>
  <c r="N477" i="2"/>
  <c r="N424" i="2" s="1"/>
  <c r="D456" i="2"/>
  <c r="E456" i="2"/>
  <c r="F456" i="2"/>
  <c r="G456" i="2"/>
  <c r="H456" i="2"/>
  <c r="I456" i="2"/>
  <c r="J456" i="2"/>
  <c r="K456" i="2"/>
  <c r="L456" i="2"/>
  <c r="M456" i="2"/>
  <c r="N456" i="2"/>
  <c r="D455" i="2"/>
  <c r="E455" i="2"/>
  <c r="F455" i="2"/>
  <c r="G455" i="2"/>
  <c r="H455" i="2"/>
  <c r="I455" i="2"/>
  <c r="J455" i="2"/>
  <c r="K455" i="2"/>
  <c r="L455" i="2"/>
  <c r="M455" i="2"/>
  <c r="N455" i="2"/>
  <c r="C456" i="2"/>
  <c r="C455" i="2"/>
  <c r="D454" i="2"/>
  <c r="E454" i="2"/>
  <c r="F454" i="2"/>
  <c r="G454" i="2"/>
  <c r="H454" i="2"/>
  <c r="I454" i="2"/>
  <c r="J454" i="2"/>
  <c r="K454" i="2"/>
  <c r="L454" i="2"/>
  <c r="M454" i="2"/>
  <c r="N454" i="2"/>
  <c r="C454" i="2"/>
  <c r="D451" i="2"/>
  <c r="D504" i="2" s="1"/>
  <c r="E451" i="2"/>
  <c r="E504" i="2" s="1"/>
  <c r="F451" i="2"/>
  <c r="F504" i="2" s="1"/>
  <c r="G451" i="2"/>
  <c r="G504" i="2" s="1"/>
  <c r="H451" i="2"/>
  <c r="H504" i="2" s="1"/>
  <c r="I451" i="2"/>
  <c r="I504" i="2" s="1"/>
  <c r="J451" i="2"/>
  <c r="J504" i="2" s="1"/>
  <c r="K451" i="2"/>
  <c r="K504" i="2" s="1"/>
  <c r="L451" i="2"/>
  <c r="L504" i="2" s="1"/>
  <c r="M451" i="2"/>
  <c r="M504" i="2" s="1"/>
  <c r="N451" i="2"/>
  <c r="N504" i="2" s="1"/>
  <c r="C451" i="2"/>
  <c r="C504" i="2" s="1"/>
  <c r="H48" i="10" l="1"/>
  <c r="AL13" i="10"/>
  <c r="H54" i="10"/>
  <c r="H187" i="10" s="1"/>
  <c r="AM10" i="10"/>
  <c r="AM22" i="10"/>
  <c r="AM11" i="10"/>
  <c r="AM8" i="10"/>
  <c r="AM9" i="10"/>
  <c r="AM6" i="10"/>
  <c r="AM13" i="10" s="1"/>
  <c r="AM7" i="10"/>
  <c r="AN7" i="10"/>
  <c r="J98" i="10"/>
  <c r="H186" i="10" s="1"/>
  <c r="AM73" i="10"/>
  <c r="AL71" i="10"/>
  <c r="J96" i="10" s="1"/>
  <c r="AL70" i="10"/>
  <c r="J95" i="10" s="1"/>
  <c r="AL69" i="10"/>
  <c r="J94" i="10" s="1"/>
  <c r="AL68" i="10"/>
  <c r="J93" i="10" s="1"/>
  <c r="AL67" i="10"/>
  <c r="J92" i="10" s="1"/>
  <c r="AL66" i="10"/>
  <c r="J91" i="10" s="1"/>
  <c r="AL65" i="10"/>
  <c r="J90" i="10" s="1"/>
  <c r="AL64" i="10"/>
  <c r="J89" i="10" s="1"/>
  <c r="AL85" i="10"/>
  <c r="AL72" i="10" s="1"/>
  <c r="J97" i="10" s="1"/>
  <c r="AM77" i="10"/>
  <c r="C220" i="1"/>
  <c r="D112" i="11"/>
  <c r="D484" i="2"/>
  <c r="D425" i="2" s="1"/>
  <c r="F484" i="2"/>
  <c r="F425" i="2" s="1"/>
  <c r="G484" i="2"/>
  <c r="G425" i="2" s="1"/>
  <c r="L484" i="2"/>
  <c r="L425" i="2" s="1"/>
  <c r="M484" i="2"/>
  <c r="M425" i="2" s="1"/>
  <c r="K484" i="2"/>
  <c r="K425" i="2" s="1"/>
  <c r="G477" i="2"/>
  <c r="G424" i="2" s="1"/>
  <c r="F477" i="2"/>
  <c r="F424" i="2" s="1"/>
  <c r="M477" i="2"/>
  <c r="M424" i="2" s="1"/>
  <c r="L477" i="2"/>
  <c r="L424" i="2" s="1"/>
  <c r="K477" i="2"/>
  <c r="K424" i="2" s="1"/>
  <c r="J477" i="2"/>
  <c r="J424" i="2" s="1"/>
  <c r="D477" i="2"/>
  <c r="D424" i="2" s="1"/>
  <c r="C477" i="2"/>
  <c r="C424" i="2" s="1"/>
  <c r="H189" i="10" l="1"/>
  <c r="AN8" i="10"/>
  <c r="AN9" i="10"/>
  <c r="AN6" i="10"/>
  <c r="AN13" i="10" s="1"/>
  <c r="AN11" i="10"/>
  <c r="AN10" i="10"/>
  <c r="AN22" i="10"/>
  <c r="AM85" i="10"/>
  <c r="AM72" i="10" s="1"/>
  <c r="AN77" i="10"/>
  <c r="AN73" i="10"/>
  <c r="AM71" i="10"/>
  <c r="AM70" i="10"/>
  <c r="AM69" i="10"/>
  <c r="AM68" i="10"/>
  <c r="AM67" i="10"/>
  <c r="AM66" i="10"/>
  <c r="AM65" i="10"/>
  <c r="AM64" i="10"/>
  <c r="D449" i="2"/>
  <c r="D502" i="2" s="1"/>
  <c r="E449" i="2"/>
  <c r="E502" i="2" s="1"/>
  <c r="F449" i="2"/>
  <c r="F502" i="2" s="1"/>
  <c r="G449" i="2"/>
  <c r="G502" i="2" s="1"/>
  <c r="H449" i="2"/>
  <c r="H502" i="2" s="1"/>
  <c r="I449" i="2"/>
  <c r="I502" i="2" s="1"/>
  <c r="J449" i="2"/>
  <c r="J502" i="2" s="1"/>
  <c r="K449" i="2"/>
  <c r="K502" i="2" s="1"/>
  <c r="L449" i="2"/>
  <c r="L502" i="2" s="1"/>
  <c r="M449" i="2"/>
  <c r="M502" i="2" s="1"/>
  <c r="N449" i="2"/>
  <c r="N502" i="2" s="1"/>
  <c r="C449" i="2"/>
  <c r="C502" i="2" s="1"/>
  <c r="D441" i="2"/>
  <c r="D498" i="2" s="1"/>
  <c r="E441" i="2"/>
  <c r="E498" i="2" s="1"/>
  <c r="F441" i="2"/>
  <c r="F498" i="2" s="1"/>
  <c r="G441" i="2"/>
  <c r="G498" i="2" s="1"/>
  <c r="H441" i="2"/>
  <c r="H498" i="2" s="1"/>
  <c r="I441" i="2"/>
  <c r="I498" i="2" s="1"/>
  <c r="J441" i="2"/>
  <c r="J498" i="2" s="1"/>
  <c r="K441" i="2"/>
  <c r="K498" i="2" s="1"/>
  <c r="L441" i="2"/>
  <c r="L498" i="2" s="1"/>
  <c r="M441" i="2"/>
  <c r="M498" i="2" s="1"/>
  <c r="N441" i="2"/>
  <c r="N498" i="2" s="1"/>
  <c r="C441" i="2"/>
  <c r="C498" i="2" s="1"/>
  <c r="D440" i="2"/>
  <c r="D497" i="2" s="1"/>
  <c r="E440" i="2"/>
  <c r="E497" i="2" s="1"/>
  <c r="F440" i="2"/>
  <c r="F497" i="2" s="1"/>
  <c r="G440" i="2"/>
  <c r="G497" i="2" s="1"/>
  <c r="H440" i="2"/>
  <c r="H497" i="2" s="1"/>
  <c r="I440" i="2"/>
  <c r="I497" i="2" s="1"/>
  <c r="J440" i="2"/>
  <c r="J497" i="2" s="1"/>
  <c r="K440" i="2"/>
  <c r="K497" i="2" s="1"/>
  <c r="L440" i="2"/>
  <c r="L497" i="2" s="1"/>
  <c r="M440" i="2"/>
  <c r="M497" i="2" s="1"/>
  <c r="N440" i="2"/>
  <c r="N497" i="2" s="1"/>
  <c r="C440" i="2"/>
  <c r="C497" i="2" s="1"/>
  <c r="D438" i="2"/>
  <c r="D496" i="2" s="1"/>
  <c r="E438" i="2"/>
  <c r="E496" i="2" s="1"/>
  <c r="F438" i="2"/>
  <c r="F496" i="2" s="1"/>
  <c r="G438" i="2"/>
  <c r="G496" i="2" s="1"/>
  <c r="H438" i="2"/>
  <c r="H496" i="2" s="1"/>
  <c r="I438" i="2"/>
  <c r="I496" i="2" s="1"/>
  <c r="J438" i="2"/>
  <c r="J496" i="2" s="1"/>
  <c r="K438" i="2"/>
  <c r="K496" i="2" s="1"/>
  <c r="L438" i="2"/>
  <c r="L496" i="2" s="1"/>
  <c r="M438" i="2"/>
  <c r="M496" i="2" s="1"/>
  <c r="N438" i="2"/>
  <c r="N496" i="2" s="1"/>
  <c r="C438" i="2"/>
  <c r="C496" i="2" s="1"/>
  <c r="D437" i="2"/>
  <c r="E437" i="2"/>
  <c r="F437" i="2"/>
  <c r="G437" i="2"/>
  <c r="H437" i="2"/>
  <c r="I437" i="2"/>
  <c r="J437" i="2"/>
  <c r="K437" i="2"/>
  <c r="L437" i="2"/>
  <c r="M437" i="2"/>
  <c r="N437" i="2"/>
  <c r="C437" i="2"/>
  <c r="D436" i="2"/>
  <c r="E436" i="2"/>
  <c r="F436" i="2"/>
  <c r="G436" i="2"/>
  <c r="H436" i="2"/>
  <c r="I436" i="2"/>
  <c r="J436" i="2"/>
  <c r="K436" i="2"/>
  <c r="L436" i="2"/>
  <c r="M436" i="2"/>
  <c r="N436" i="2"/>
  <c r="C436" i="2"/>
  <c r="D434" i="2"/>
  <c r="D494" i="2" s="1"/>
  <c r="E434" i="2"/>
  <c r="E494" i="2" s="1"/>
  <c r="F434" i="2"/>
  <c r="F494" i="2" s="1"/>
  <c r="G434" i="2"/>
  <c r="G494" i="2" s="1"/>
  <c r="H434" i="2"/>
  <c r="H494" i="2" s="1"/>
  <c r="I434" i="2"/>
  <c r="I494" i="2" s="1"/>
  <c r="J434" i="2"/>
  <c r="J494" i="2" s="1"/>
  <c r="K434" i="2"/>
  <c r="K494" i="2" s="1"/>
  <c r="L434" i="2"/>
  <c r="L494" i="2" s="1"/>
  <c r="M434" i="2"/>
  <c r="M494" i="2" s="1"/>
  <c r="N434" i="2"/>
  <c r="N494" i="2" s="1"/>
  <c r="C434" i="2"/>
  <c r="C494" i="2" s="1"/>
  <c r="D433" i="2"/>
  <c r="D493" i="2" s="1"/>
  <c r="E433" i="2"/>
  <c r="E493" i="2" s="1"/>
  <c r="F433" i="2"/>
  <c r="F493" i="2" s="1"/>
  <c r="G433" i="2"/>
  <c r="G493" i="2" s="1"/>
  <c r="H433" i="2"/>
  <c r="H493" i="2" s="1"/>
  <c r="I433" i="2"/>
  <c r="I493" i="2" s="1"/>
  <c r="J433" i="2"/>
  <c r="J493" i="2" s="1"/>
  <c r="K433" i="2"/>
  <c r="K493" i="2" s="1"/>
  <c r="L433" i="2"/>
  <c r="L493" i="2" s="1"/>
  <c r="M433" i="2"/>
  <c r="M493" i="2" s="1"/>
  <c r="N433" i="2"/>
  <c r="N493" i="2" s="1"/>
  <c r="C433" i="2"/>
  <c r="C493" i="2" s="1"/>
  <c r="D432" i="2"/>
  <c r="E432" i="2"/>
  <c r="F432" i="2"/>
  <c r="G432" i="2"/>
  <c r="H432" i="2"/>
  <c r="I432" i="2"/>
  <c r="J432" i="2"/>
  <c r="K432" i="2"/>
  <c r="L432" i="2"/>
  <c r="M432" i="2"/>
  <c r="N432" i="2"/>
  <c r="C432" i="2"/>
  <c r="D431" i="2"/>
  <c r="D491" i="2" s="1"/>
  <c r="E431" i="2"/>
  <c r="E491" i="2" s="1"/>
  <c r="F431" i="2"/>
  <c r="F491" i="2" s="1"/>
  <c r="G431" i="2"/>
  <c r="G491" i="2" s="1"/>
  <c r="H431" i="2"/>
  <c r="H491" i="2" s="1"/>
  <c r="I431" i="2"/>
  <c r="I491" i="2" s="1"/>
  <c r="J431" i="2"/>
  <c r="J491" i="2" s="1"/>
  <c r="K431" i="2"/>
  <c r="K491" i="2" s="1"/>
  <c r="L431" i="2"/>
  <c r="L491" i="2" s="1"/>
  <c r="M431" i="2"/>
  <c r="M491" i="2" s="1"/>
  <c r="N431" i="2"/>
  <c r="N491" i="2" s="1"/>
  <c r="C431" i="2"/>
  <c r="C491" i="2" s="1"/>
  <c r="D430" i="2"/>
  <c r="D490" i="2" s="1"/>
  <c r="E430" i="2"/>
  <c r="E490" i="2" s="1"/>
  <c r="F430" i="2"/>
  <c r="F490" i="2" s="1"/>
  <c r="G430" i="2"/>
  <c r="G490" i="2" s="1"/>
  <c r="H430" i="2"/>
  <c r="H490" i="2" s="1"/>
  <c r="I430" i="2"/>
  <c r="I490" i="2" s="1"/>
  <c r="J430" i="2"/>
  <c r="J490" i="2" s="1"/>
  <c r="K430" i="2"/>
  <c r="K490" i="2" s="1"/>
  <c r="L430" i="2"/>
  <c r="L490" i="2" s="1"/>
  <c r="M430" i="2"/>
  <c r="M490" i="2" s="1"/>
  <c r="N430" i="2"/>
  <c r="N490" i="2" s="1"/>
  <c r="C430" i="2"/>
  <c r="C490" i="2" s="1"/>
  <c r="D444" i="2"/>
  <c r="D500" i="2" s="1"/>
  <c r="E444" i="2"/>
  <c r="E500" i="2" s="1"/>
  <c r="F444" i="2"/>
  <c r="F500" i="2" s="1"/>
  <c r="G444" i="2"/>
  <c r="G500" i="2" s="1"/>
  <c r="H444" i="2"/>
  <c r="H500" i="2" s="1"/>
  <c r="I444" i="2"/>
  <c r="I500" i="2" s="1"/>
  <c r="J444" i="2"/>
  <c r="J500" i="2" s="1"/>
  <c r="K444" i="2"/>
  <c r="K500" i="2" s="1"/>
  <c r="L444" i="2"/>
  <c r="L500" i="2" s="1"/>
  <c r="M444" i="2"/>
  <c r="M500" i="2" s="1"/>
  <c r="N444" i="2"/>
  <c r="N500" i="2" s="1"/>
  <c r="C444" i="2"/>
  <c r="C500" i="2" s="1"/>
  <c r="D429" i="2"/>
  <c r="D489" i="2" s="1"/>
  <c r="E429" i="2"/>
  <c r="E489" i="2" s="1"/>
  <c r="F429" i="2"/>
  <c r="F489" i="2" s="1"/>
  <c r="G429" i="2"/>
  <c r="G489" i="2" s="1"/>
  <c r="H429" i="2"/>
  <c r="H489" i="2" s="1"/>
  <c r="I429" i="2"/>
  <c r="I489" i="2" s="1"/>
  <c r="J429" i="2"/>
  <c r="J489" i="2" s="1"/>
  <c r="K429" i="2"/>
  <c r="K489" i="2" s="1"/>
  <c r="L429" i="2"/>
  <c r="L489" i="2" s="1"/>
  <c r="M429" i="2"/>
  <c r="M489" i="2" s="1"/>
  <c r="N429" i="2"/>
  <c r="N489" i="2" s="1"/>
  <c r="C429" i="2"/>
  <c r="C489" i="2" s="1"/>
  <c r="D415" i="2"/>
  <c r="E415" i="2"/>
  <c r="F415" i="2"/>
  <c r="G415" i="2"/>
  <c r="H415" i="2"/>
  <c r="I415" i="2"/>
  <c r="J415" i="2"/>
  <c r="K415" i="2"/>
  <c r="L415" i="2"/>
  <c r="M415" i="2"/>
  <c r="N415" i="2"/>
  <c r="M416" i="2"/>
  <c r="N416" i="2"/>
  <c r="C415" i="2"/>
  <c r="L416" i="2"/>
  <c r="F416" i="2"/>
  <c r="D393" i="2"/>
  <c r="E393" i="2"/>
  <c r="F393" i="2"/>
  <c r="G393" i="2"/>
  <c r="H393" i="2"/>
  <c r="I393" i="2"/>
  <c r="J393" i="2"/>
  <c r="K393" i="2"/>
  <c r="L393" i="2"/>
  <c r="M393" i="2"/>
  <c r="N393" i="2"/>
  <c r="D392" i="2"/>
  <c r="E392" i="2"/>
  <c r="F392" i="2"/>
  <c r="G392" i="2"/>
  <c r="H392" i="2"/>
  <c r="I392" i="2"/>
  <c r="J392" i="2"/>
  <c r="K392" i="2"/>
  <c r="L392" i="2"/>
  <c r="M392" i="2"/>
  <c r="N392" i="2"/>
  <c r="C393" i="2"/>
  <c r="C392" i="2"/>
  <c r="D368" i="2"/>
  <c r="E368" i="2"/>
  <c r="F368" i="2"/>
  <c r="G368" i="2"/>
  <c r="H368" i="2"/>
  <c r="I368" i="2"/>
  <c r="J368" i="2"/>
  <c r="K368" i="2"/>
  <c r="L368" i="2"/>
  <c r="M368" i="2"/>
  <c r="N368" i="2"/>
  <c r="D367" i="2"/>
  <c r="E367" i="2"/>
  <c r="F367" i="2"/>
  <c r="G367" i="2"/>
  <c r="H367" i="2"/>
  <c r="I367" i="2"/>
  <c r="J367" i="2"/>
  <c r="K367" i="2"/>
  <c r="L367" i="2"/>
  <c r="M367" i="2"/>
  <c r="N367" i="2"/>
  <c r="C368" i="2"/>
  <c r="C367" i="2"/>
  <c r="D345" i="2"/>
  <c r="E345" i="2"/>
  <c r="F345" i="2"/>
  <c r="G345" i="2"/>
  <c r="H345" i="2"/>
  <c r="I345" i="2"/>
  <c r="J345" i="2"/>
  <c r="K345" i="2"/>
  <c r="L345" i="2"/>
  <c r="M345" i="2"/>
  <c r="N345" i="2"/>
  <c r="D344" i="2"/>
  <c r="E344" i="2"/>
  <c r="F344" i="2"/>
  <c r="G344" i="2"/>
  <c r="H344" i="2"/>
  <c r="I344" i="2"/>
  <c r="J344" i="2"/>
  <c r="K344" i="2"/>
  <c r="L344" i="2"/>
  <c r="M344" i="2"/>
  <c r="N344" i="2"/>
  <c r="C345" i="2"/>
  <c r="C344" i="2"/>
  <c r="D325" i="2"/>
  <c r="E325" i="2"/>
  <c r="F325" i="2"/>
  <c r="G325" i="2"/>
  <c r="H325" i="2"/>
  <c r="I325" i="2"/>
  <c r="J325" i="2"/>
  <c r="K325" i="2"/>
  <c r="L325" i="2"/>
  <c r="M325" i="2"/>
  <c r="N325" i="2"/>
  <c r="D324" i="2"/>
  <c r="E324" i="2"/>
  <c r="F324" i="2"/>
  <c r="G324" i="2"/>
  <c r="H324" i="2"/>
  <c r="I324" i="2"/>
  <c r="J324" i="2"/>
  <c r="K324" i="2"/>
  <c r="L324" i="2"/>
  <c r="M324" i="2"/>
  <c r="N324" i="2"/>
  <c r="C325" i="2"/>
  <c r="C324" i="2"/>
  <c r="D305" i="2"/>
  <c r="E305" i="2"/>
  <c r="F305" i="2"/>
  <c r="G305" i="2"/>
  <c r="H305" i="2"/>
  <c r="I305" i="2"/>
  <c r="J305" i="2"/>
  <c r="K305" i="2"/>
  <c r="L305" i="2"/>
  <c r="M305" i="2"/>
  <c r="N305" i="2"/>
  <c r="D304" i="2"/>
  <c r="E304" i="2"/>
  <c r="F304" i="2"/>
  <c r="G304" i="2"/>
  <c r="H304" i="2"/>
  <c r="I304" i="2"/>
  <c r="J304" i="2"/>
  <c r="K304" i="2"/>
  <c r="L304" i="2"/>
  <c r="M304" i="2"/>
  <c r="N304" i="2"/>
  <c r="C305" i="2"/>
  <c r="C304" i="2"/>
  <c r="D285" i="2"/>
  <c r="E285" i="2"/>
  <c r="F285" i="2"/>
  <c r="G285" i="2"/>
  <c r="H285" i="2"/>
  <c r="I285" i="2"/>
  <c r="J285" i="2"/>
  <c r="K285" i="2"/>
  <c r="L285" i="2"/>
  <c r="M285" i="2"/>
  <c r="N285" i="2"/>
  <c r="D284" i="2"/>
  <c r="E284" i="2"/>
  <c r="F284" i="2"/>
  <c r="G284" i="2"/>
  <c r="H284" i="2"/>
  <c r="I284" i="2"/>
  <c r="J284" i="2"/>
  <c r="K284" i="2"/>
  <c r="L284" i="2"/>
  <c r="M284" i="2"/>
  <c r="N284" i="2"/>
  <c r="C285" i="2"/>
  <c r="C284" i="2"/>
  <c r="D265" i="2"/>
  <c r="E265" i="2"/>
  <c r="F265" i="2"/>
  <c r="G265" i="2"/>
  <c r="H265" i="2"/>
  <c r="I265" i="2"/>
  <c r="J265" i="2"/>
  <c r="K265" i="2"/>
  <c r="L265" i="2"/>
  <c r="M265" i="2"/>
  <c r="N265" i="2"/>
  <c r="D264" i="2"/>
  <c r="E264" i="2"/>
  <c r="F264" i="2"/>
  <c r="G264" i="2"/>
  <c r="H264" i="2"/>
  <c r="I264" i="2"/>
  <c r="J264" i="2"/>
  <c r="K264" i="2"/>
  <c r="L264" i="2"/>
  <c r="M264" i="2"/>
  <c r="N264" i="2"/>
  <c r="C265" i="2"/>
  <c r="C264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D224" i="2"/>
  <c r="E224" i="2"/>
  <c r="F224" i="2"/>
  <c r="G224" i="2"/>
  <c r="H224" i="2"/>
  <c r="I224" i="2"/>
  <c r="J224" i="2"/>
  <c r="K224" i="2"/>
  <c r="L224" i="2"/>
  <c r="M224" i="2"/>
  <c r="N224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C224" i="2"/>
  <c r="C184" i="2"/>
  <c r="C183" i="2"/>
  <c r="D204" i="2"/>
  <c r="E204" i="2"/>
  <c r="F204" i="2"/>
  <c r="G204" i="2"/>
  <c r="H204" i="2"/>
  <c r="I204" i="2"/>
  <c r="J204" i="2"/>
  <c r="K204" i="2"/>
  <c r="L204" i="2"/>
  <c r="M204" i="2"/>
  <c r="N204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C204" i="2"/>
  <c r="E184" i="2"/>
  <c r="F184" i="2"/>
  <c r="G184" i="2"/>
  <c r="H184" i="2"/>
  <c r="I184" i="2"/>
  <c r="J184" i="2"/>
  <c r="K184" i="2"/>
  <c r="L184" i="2"/>
  <c r="M184" i="2"/>
  <c r="N184" i="2"/>
  <c r="D184" i="2"/>
  <c r="E183" i="2"/>
  <c r="F183" i="2"/>
  <c r="G183" i="2"/>
  <c r="H183" i="2"/>
  <c r="I183" i="2"/>
  <c r="J183" i="2"/>
  <c r="K183" i="2"/>
  <c r="L183" i="2"/>
  <c r="M183" i="2"/>
  <c r="N183" i="2"/>
  <c r="D183" i="2"/>
  <c r="D164" i="2"/>
  <c r="E164" i="2"/>
  <c r="F164" i="2"/>
  <c r="G164" i="2"/>
  <c r="H164" i="2"/>
  <c r="I164" i="2"/>
  <c r="J164" i="2"/>
  <c r="K164" i="2"/>
  <c r="L164" i="2"/>
  <c r="M164" i="2"/>
  <c r="N164" i="2"/>
  <c r="C164" i="2"/>
  <c r="D163" i="2"/>
  <c r="E163" i="2"/>
  <c r="F163" i="2"/>
  <c r="G163" i="2"/>
  <c r="H163" i="2"/>
  <c r="I163" i="2"/>
  <c r="J163" i="2"/>
  <c r="K163" i="2"/>
  <c r="L163" i="2"/>
  <c r="M163" i="2"/>
  <c r="N163" i="2"/>
  <c r="C16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D124" i="2"/>
  <c r="E124" i="2"/>
  <c r="F124" i="2"/>
  <c r="G124" i="2"/>
  <c r="H124" i="2"/>
  <c r="I124" i="2"/>
  <c r="J124" i="2"/>
  <c r="K124" i="2"/>
  <c r="L124" i="2"/>
  <c r="M124" i="2"/>
  <c r="N124" i="2"/>
  <c r="C124" i="2"/>
  <c r="D123" i="2"/>
  <c r="E123" i="2"/>
  <c r="F123" i="2"/>
  <c r="G123" i="2"/>
  <c r="H123" i="2"/>
  <c r="I123" i="2"/>
  <c r="J123" i="2"/>
  <c r="K123" i="2"/>
  <c r="L123" i="2"/>
  <c r="M123" i="2"/>
  <c r="N123" i="2"/>
  <c r="C123" i="2"/>
  <c r="N96" i="2"/>
  <c r="N92" i="2"/>
  <c r="N509" i="2" s="1"/>
  <c r="D51" i="2"/>
  <c r="E51" i="2"/>
  <c r="F51" i="2"/>
  <c r="G51" i="2"/>
  <c r="H51" i="2"/>
  <c r="I51" i="2"/>
  <c r="J51" i="2"/>
  <c r="K51" i="2"/>
  <c r="L51" i="2"/>
  <c r="M51" i="2"/>
  <c r="N51" i="2"/>
  <c r="O51" i="2"/>
  <c r="C51" i="2"/>
  <c r="C24" i="2"/>
  <c r="E24" i="2"/>
  <c r="F24" i="2"/>
  <c r="G24" i="2"/>
  <c r="H24" i="2"/>
  <c r="I24" i="2"/>
  <c r="J24" i="2"/>
  <c r="K24" i="2"/>
  <c r="L24" i="2"/>
  <c r="M24" i="2"/>
  <c r="N24" i="2"/>
  <c r="D24" i="2"/>
  <c r="AO10" i="10" l="1"/>
  <c r="AO22" i="10"/>
  <c r="AO11" i="10"/>
  <c r="AO8" i="10"/>
  <c r="AO9" i="10"/>
  <c r="AO6" i="10"/>
  <c r="AO13" i="10" s="1"/>
  <c r="AO7" i="10"/>
  <c r="AP7" i="10"/>
  <c r="AO73" i="10"/>
  <c r="AN71" i="10"/>
  <c r="AN70" i="10"/>
  <c r="AN69" i="10"/>
  <c r="AN68" i="10"/>
  <c r="AN67" i="10"/>
  <c r="AN66" i="10"/>
  <c r="AN65" i="10"/>
  <c r="AN64" i="10"/>
  <c r="AN85" i="10"/>
  <c r="AN72" i="10" s="1"/>
  <c r="AO77" i="10"/>
  <c r="C510" i="2"/>
  <c r="C492" i="2"/>
  <c r="C508" i="2"/>
  <c r="C495" i="2"/>
  <c r="M508" i="2"/>
  <c r="M495" i="2"/>
  <c r="L510" i="2"/>
  <c r="L492" i="2"/>
  <c r="L508" i="2"/>
  <c r="L495" i="2"/>
  <c r="N510" i="2"/>
  <c r="N492" i="2"/>
  <c r="J510" i="2"/>
  <c r="J492" i="2"/>
  <c r="J508" i="2"/>
  <c r="J495" i="2"/>
  <c r="N508" i="2"/>
  <c r="N495" i="2"/>
  <c r="K510" i="2"/>
  <c r="K492" i="2"/>
  <c r="I510" i="2"/>
  <c r="I492" i="2"/>
  <c r="I508" i="2"/>
  <c r="I495" i="2"/>
  <c r="H510" i="2"/>
  <c r="H492" i="2"/>
  <c r="H508" i="2"/>
  <c r="H495" i="2"/>
  <c r="G510" i="2"/>
  <c r="G492" i="2"/>
  <c r="G508" i="2"/>
  <c r="G495" i="2"/>
  <c r="K508" i="2"/>
  <c r="K495" i="2"/>
  <c r="F510" i="2"/>
  <c r="F492" i="2"/>
  <c r="F508" i="2"/>
  <c r="F495" i="2"/>
  <c r="M510" i="2"/>
  <c r="M492" i="2"/>
  <c r="E510" i="2"/>
  <c r="E492" i="2"/>
  <c r="E508" i="2"/>
  <c r="E495" i="2"/>
  <c r="D510" i="2"/>
  <c r="D492" i="2"/>
  <c r="D508" i="2"/>
  <c r="D495" i="2"/>
  <c r="I416" i="2"/>
  <c r="D416" i="2"/>
  <c r="E416" i="2"/>
  <c r="H416" i="2"/>
  <c r="G416" i="2"/>
  <c r="J416" i="2"/>
  <c r="K416" i="2"/>
  <c r="I443" i="2"/>
  <c r="M443" i="2"/>
  <c r="F443" i="2"/>
  <c r="G443" i="2"/>
  <c r="C443" i="2"/>
  <c r="L443" i="2"/>
  <c r="D443" i="2"/>
  <c r="J443" i="2"/>
  <c r="E443" i="2"/>
  <c r="K443" i="2"/>
  <c r="H443" i="2"/>
  <c r="N443" i="2"/>
  <c r="C416" i="2"/>
  <c r="D209" i="1"/>
  <c r="E209" i="1"/>
  <c r="F209" i="1"/>
  <c r="G209" i="1"/>
  <c r="H209" i="1"/>
  <c r="I209" i="1"/>
  <c r="J209" i="1"/>
  <c r="K209" i="1"/>
  <c r="L209" i="1"/>
  <c r="M209" i="1"/>
  <c r="N209" i="1"/>
  <c r="C209" i="1"/>
  <c r="D208" i="1"/>
  <c r="E208" i="1"/>
  <c r="F208" i="1"/>
  <c r="G208" i="1"/>
  <c r="H208" i="1"/>
  <c r="I208" i="1"/>
  <c r="J208" i="1"/>
  <c r="K208" i="1"/>
  <c r="L208" i="1"/>
  <c r="M208" i="1"/>
  <c r="N208" i="1"/>
  <c r="C208" i="1"/>
  <c r="D207" i="1"/>
  <c r="E207" i="1"/>
  <c r="F207" i="1"/>
  <c r="G207" i="1"/>
  <c r="H207" i="1"/>
  <c r="I207" i="1"/>
  <c r="J207" i="1"/>
  <c r="K207" i="1"/>
  <c r="L207" i="1"/>
  <c r="M207" i="1"/>
  <c r="N207" i="1"/>
  <c r="C207" i="1"/>
  <c r="D206" i="1"/>
  <c r="E206" i="1"/>
  <c r="F206" i="1"/>
  <c r="G206" i="1"/>
  <c r="H206" i="1"/>
  <c r="I206" i="1"/>
  <c r="J206" i="1"/>
  <c r="K206" i="1"/>
  <c r="L206" i="1"/>
  <c r="M206" i="1"/>
  <c r="N206" i="1"/>
  <c r="C206" i="1"/>
  <c r="D205" i="1"/>
  <c r="E205" i="1"/>
  <c r="F205" i="1"/>
  <c r="G205" i="1"/>
  <c r="H205" i="1"/>
  <c r="I205" i="1"/>
  <c r="J205" i="1"/>
  <c r="K205" i="1"/>
  <c r="L205" i="1"/>
  <c r="M205" i="1"/>
  <c r="C205" i="1"/>
  <c r="D204" i="1"/>
  <c r="E204" i="1"/>
  <c r="F204" i="1"/>
  <c r="G204" i="1"/>
  <c r="H204" i="1"/>
  <c r="I204" i="1"/>
  <c r="J204" i="1"/>
  <c r="K204" i="1"/>
  <c r="L204" i="1"/>
  <c r="M204" i="1"/>
  <c r="C199" i="1"/>
  <c r="D201" i="1"/>
  <c r="E201" i="1"/>
  <c r="F201" i="1"/>
  <c r="G201" i="1"/>
  <c r="H201" i="1"/>
  <c r="I201" i="1"/>
  <c r="J201" i="1"/>
  <c r="K201" i="1"/>
  <c r="L201" i="1"/>
  <c r="M201" i="1"/>
  <c r="N201" i="1"/>
  <c r="C201" i="1"/>
  <c r="D200" i="1"/>
  <c r="E200" i="1"/>
  <c r="F200" i="1"/>
  <c r="G200" i="1"/>
  <c r="H200" i="1"/>
  <c r="H214" i="1" s="1"/>
  <c r="I200" i="1"/>
  <c r="I214" i="1" s="1"/>
  <c r="J200" i="1"/>
  <c r="J214" i="1" s="1"/>
  <c r="K200" i="1"/>
  <c r="K214" i="1" s="1"/>
  <c r="L200" i="1"/>
  <c r="M200" i="1"/>
  <c r="M214" i="1" s="1"/>
  <c r="D199" i="1"/>
  <c r="E199" i="1"/>
  <c r="F199" i="1"/>
  <c r="G199" i="1"/>
  <c r="H199" i="1"/>
  <c r="I199" i="1"/>
  <c r="J199" i="1"/>
  <c r="K199" i="1"/>
  <c r="L199" i="1"/>
  <c r="M199" i="1"/>
  <c r="N199" i="1"/>
  <c r="B191" i="1"/>
  <c r="B192" i="1" s="1"/>
  <c r="B193" i="1" s="1"/>
  <c r="B194" i="1" s="1"/>
  <c r="D185" i="1"/>
  <c r="E185" i="1"/>
  <c r="F185" i="1"/>
  <c r="G185" i="1"/>
  <c r="H185" i="1"/>
  <c r="I185" i="1"/>
  <c r="J185" i="1"/>
  <c r="K185" i="1"/>
  <c r="L185" i="1"/>
  <c r="M185" i="1"/>
  <c r="N185" i="1"/>
  <c r="D183" i="1"/>
  <c r="E183" i="1"/>
  <c r="F183" i="1"/>
  <c r="G183" i="1"/>
  <c r="H183" i="1"/>
  <c r="I183" i="1"/>
  <c r="J183" i="1"/>
  <c r="K183" i="1"/>
  <c r="L183" i="1"/>
  <c r="M183" i="1"/>
  <c r="N183" i="1"/>
  <c r="C183" i="1"/>
  <c r="C185" i="1"/>
  <c r="D184" i="1"/>
  <c r="E184" i="1"/>
  <c r="F184" i="1"/>
  <c r="G184" i="1"/>
  <c r="H184" i="1"/>
  <c r="I184" i="1"/>
  <c r="J184" i="1"/>
  <c r="K184" i="1"/>
  <c r="L184" i="1"/>
  <c r="M184" i="1"/>
  <c r="N184" i="1"/>
  <c r="C184" i="1"/>
  <c r="D142" i="1"/>
  <c r="E142" i="1"/>
  <c r="F142" i="1"/>
  <c r="G142" i="1"/>
  <c r="H142" i="1"/>
  <c r="I142" i="1"/>
  <c r="J142" i="1"/>
  <c r="K142" i="1"/>
  <c r="L142" i="1"/>
  <c r="M142" i="1"/>
  <c r="N142" i="1"/>
  <c r="C142" i="1"/>
  <c r="D126" i="1"/>
  <c r="E126" i="1"/>
  <c r="F126" i="1"/>
  <c r="G126" i="1"/>
  <c r="H126" i="1"/>
  <c r="I126" i="1"/>
  <c r="J126" i="1"/>
  <c r="K126" i="1"/>
  <c r="L126" i="1"/>
  <c r="M126" i="1"/>
  <c r="N126" i="1"/>
  <c r="C126" i="1"/>
  <c r="D109" i="1"/>
  <c r="E109" i="1"/>
  <c r="F109" i="1"/>
  <c r="G109" i="1"/>
  <c r="H109" i="1"/>
  <c r="I109" i="1"/>
  <c r="J109" i="1"/>
  <c r="K109" i="1"/>
  <c r="L109" i="1"/>
  <c r="M109" i="1"/>
  <c r="N109" i="1"/>
  <c r="C109" i="1"/>
  <c r="D90" i="1"/>
  <c r="E90" i="1"/>
  <c r="F90" i="1"/>
  <c r="G90" i="1"/>
  <c r="H90" i="1"/>
  <c r="I90" i="1"/>
  <c r="J90" i="1"/>
  <c r="K90" i="1"/>
  <c r="L90" i="1"/>
  <c r="M90" i="1"/>
  <c r="N90" i="1"/>
  <c r="D89" i="1"/>
  <c r="E89" i="1"/>
  <c r="F89" i="1"/>
  <c r="G89" i="1"/>
  <c r="H89" i="1"/>
  <c r="I89" i="1"/>
  <c r="J89" i="1"/>
  <c r="K89" i="1"/>
  <c r="L89" i="1"/>
  <c r="M89" i="1"/>
  <c r="N89" i="1"/>
  <c r="C90" i="1"/>
  <c r="C89" i="1"/>
  <c r="D74" i="1"/>
  <c r="E74" i="1"/>
  <c r="F74" i="1"/>
  <c r="G74" i="1"/>
  <c r="H74" i="1"/>
  <c r="I74" i="1"/>
  <c r="J74" i="1"/>
  <c r="K74" i="1"/>
  <c r="L74" i="1"/>
  <c r="M74" i="1"/>
  <c r="N74" i="1"/>
  <c r="C74" i="1"/>
  <c r="D52" i="1"/>
  <c r="E52" i="1"/>
  <c r="F52" i="1"/>
  <c r="G52" i="1"/>
  <c r="H52" i="1"/>
  <c r="I52" i="1"/>
  <c r="J52" i="1"/>
  <c r="K52" i="1"/>
  <c r="L52" i="1"/>
  <c r="M52" i="1"/>
  <c r="N52" i="1"/>
  <c r="C52" i="1"/>
  <c r="AP8" i="10" l="1"/>
  <c r="AP9" i="10"/>
  <c r="AP6" i="10"/>
  <c r="AP13" i="10" s="1"/>
  <c r="AP11" i="10"/>
  <c r="AQ11" i="10"/>
  <c r="I53" i="10" s="1"/>
  <c r="AP10" i="10"/>
  <c r="AP22" i="10"/>
  <c r="AO85" i="10"/>
  <c r="AO72" i="10" s="1"/>
  <c r="AP77" i="10"/>
  <c r="AP73" i="10"/>
  <c r="AO71" i="10"/>
  <c r="AO70" i="10"/>
  <c r="AO69" i="10"/>
  <c r="AO68" i="10"/>
  <c r="AO67" i="10"/>
  <c r="AO66" i="10"/>
  <c r="AO65" i="10"/>
  <c r="AO64" i="10"/>
  <c r="F214" i="1"/>
  <c r="E214" i="1"/>
  <c r="C214" i="1"/>
  <c r="C215" i="1" s="1"/>
  <c r="C219" i="1" s="1"/>
  <c r="D214" i="1"/>
  <c r="N214" i="1"/>
  <c r="N221" i="1" s="1"/>
  <c r="G214" i="1"/>
  <c r="L214" i="1"/>
  <c r="E218" i="1"/>
  <c r="F111" i="11"/>
  <c r="C178" i="1"/>
  <c r="C218" i="1"/>
  <c r="C222" i="1" s="1"/>
  <c r="D111" i="11"/>
  <c r="J218" i="1"/>
  <c r="K111" i="11"/>
  <c r="D218" i="1"/>
  <c r="E111" i="11"/>
  <c r="H220" i="1"/>
  <c r="H221" i="1"/>
  <c r="I112" i="11"/>
  <c r="I218" i="1"/>
  <c r="J111" i="11"/>
  <c r="M220" i="1"/>
  <c r="N112" i="11"/>
  <c r="G220" i="1"/>
  <c r="H112" i="11"/>
  <c r="K218" i="1"/>
  <c r="L111" i="11"/>
  <c r="N218" i="1"/>
  <c r="N222" i="1" s="1"/>
  <c r="O111" i="11"/>
  <c r="H218" i="1"/>
  <c r="I111" i="11"/>
  <c r="L220" i="1"/>
  <c r="M112" i="11"/>
  <c r="M118" i="11" s="1"/>
  <c r="F220" i="1"/>
  <c r="G112" i="11"/>
  <c r="I220" i="1"/>
  <c r="I221" i="1"/>
  <c r="J112" i="11"/>
  <c r="J118" i="11" s="1"/>
  <c r="M218" i="1"/>
  <c r="N111" i="11"/>
  <c r="G218" i="1"/>
  <c r="H111" i="11"/>
  <c r="L112" i="11"/>
  <c r="L118" i="11" s="1"/>
  <c r="K220" i="1"/>
  <c r="E220" i="1"/>
  <c r="F112" i="11"/>
  <c r="L218" i="1"/>
  <c r="M111" i="11"/>
  <c r="M117" i="11" s="1"/>
  <c r="F218" i="1"/>
  <c r="G111" i="11"/>
  <c r="K112" i="11"/>
  <c r="K118" i="11" s="1"/>
  <c r="J220" i="1"/>
  <c r="D220" i="1"/>
  <c r="D222" i="1" s="1"/>
  <c r="E112" i="11"/>
  <c r="K445" i="2"/>
  <c r="K422" i="2" s="1"/>
  <c r="K499" i="2"/>
  <c r="G445" i="2"/>
  <c r="G422" i="2" s="1"/>
  <c r="G499" i="2"/>
  <c r="H445" i="2"/>
  <c r="H422" i="2" s="1"/>
  <c r="H499" i="2"/>
  <c r="E445" i="2"/>
  <c r="E422" i="2" s="1"/>
  <c r="E499" i="2"/>
  <c r="F445" i="2"/>
  <c r="F422" i="2" s="1"/>
  <c r="F499" i="2"/>
  <c r="J445" i="2"/>
  <c r="J422" i="2" s="1"/>
  <c r="J499" i="2"/>
  <c r="M445" i="2"/>
  <c r="M422" i="2" s="1"/>
  <c r="M499" i="2"/>
  <c r="D445" i="2"/>
  <c r="D422" i="2" s="1"/>
  <c r="D499" i="2"/>
  <c r="I445" i="2"/>
  <c r="I422" i="2" s="1"/>
  <c r="I499" i="2"/>
  <c r="N445" i="2"/>
  <c r="N422" i="2" s="1"/>
  <c r="N499" i="2"/>
  <c r="L445" i="2"/>
  <c r="L422" i="2" s="1"/>
  <c r="L499" i="2"/>
  <c r="C445" i="2"/>
  <c r="C422" i="2" s="1"/>
  <c r="C499" i="2"/>
  <c r="C452" i="2"/>
  <c r="C423" i="2" s="1"/>
  <c r="C210" i="1"/>
  <c r="C179" i="1" s="1"/>
  <c r="L178" i="1"/>
  <c r="L210" i="1"/>
  <c r="L179" i="1" s="1"/>
  <c r="F178" i="1"/>
  <c r="M210" i="1"/>
  <c r="M179" i="1" s="1"/>
  <c r="H178" i="1"/>
  <c r="J210" i="1"/>
  <c r="J179" i="1" s="1"/>
  <c r="G186" i="1"/>
  <c r="G177" i="1" s="1"/>
  <c r="I210" i="1"/>
  <c r="I179" i="1" s="1"/>
  <c r="G210" i="1"/>
  <c r="G179" i="1" s="1"/>
  <c r="F210" i="1"/>
  <c r="F179" i="1" s="1"/>
  <c r="F186" i="1"/>
  <c r="F177" i="1" s="1"/>
  <c r="L186" i="1"/>
  <c r="L177" i="1" s="1"/>
  <c r="N178" i="1"/>
  <c r="M186" i="1"/>
  <c r="M177" i="1" s="1"/>
  <c r="E186" i="1"/>
  <c r="E177" i="1" s="1"/>
  <c r="J178" i="1"/>
  <c r="K186" i="1"/>
  <c r="K177" i="1" s="1"/>
  <c r="D178" i="1"/>
  <c r="C186" i="1"/>
  <c r="C177" i="1" s="1"/>
  <c r="I186" i="1"/>
  <c r="I177" i="1" s="1"/>
  <c r="J186" i="1"/>
  <c r="J177" i="1" s="1"/>
  <c r="D186" i="1"/>
  <c r="D177" i="1" s="1"/>
  <c r="I178" i="1"/>
  <c r="N210" i="1"/>
  <c r="N179" i="1" s="1"/>
  <c r="H210" i="1"/>
  <c r="H179" i="1" s="1"/>
  <c r="K178" i="1"/>
  <c r="E178" i="1"/>
  <c r="D210" i="1"/>
  <c r="D179" i="1" s="1"/>
  <c r="N186" i="1"/>
  <c r="N177" i="1" s="1"/>
  <c r="H186" i="1"/>
  <c r="H177" i="1" s="1"/>
  <c r="M178" i="1"/>
  <c r="G178" i="1"/>
  <c r="K210" i="1"/>
  <c r="K179" i="1" s="1"/>
  <c r="E210" i="1"/>
  <c r="E179" i="1" s="1"/>
  <c r="C450" i="2"/>
  <c r="C503" i="2" s="1"/>
  <c r="L450" i="2"/>
  <c r="L503" i="2" s="1"/>
  <c r="D450" i="2"/>
  <c r="D503" i="2" s="1"/>
  <c r="E450" i="2"/>
  <c r="E503" i="2" s="1"/>
  <c r="J450" i="2"/>
  <c r="J503" i="2" s="1"/>
  <c r="J452" i="2"/>
  <c r="J423" i="2" s="1"/>
  <c r="L452" i="2"/>
  <c r="L423" i="2" s="1"/>
  <c r="I450" i="2"/>
  <c r="I503" i="2" s="1"/>
  <c r="H450" i="2"/>
  <c r="H503" i="2" s="1"/>
  <c r="F450" i="2"/>
  <c r="F503" i="2" s="1"/>
  <c r="G450" i="2"/>
  <c r="G503" i="2" s="1"/>
  <c r="F452" i="2"/>
  <c r="F423" i="2"/>
  <c r="G452" i="2"/>
  <c r="G423" i="2" s="1"/>
  <c r="D452" i="2"/>
  <c r="D423" i="2" s="1"/>
  <c r="K450" i="2"/>
  <c r="K503" i="2" s="1"/>
  <c r="I452" i="2"/>
  <c r="I423" i="2" s="1"/>
  <c r="M452" i="2"/>
  <c r="M423" i="2" s="1"/>
  <c r="M450" i="2"/>
  <c r="M503" i="2" s="1"/>
  <c r="E452" i="2"/>
  <c r="E423" i="2" s="1"/>
  <c r="N450" i="2"/>
  <c r="N503" i="2" s="1"/>
  <c r="H452" i="2"/>
  <c r="H423" i="2" s="1"/>
  <c r="K452" i="2"/>
  <c r="K423" i="2" s="1"/>
  <c r="N452" i="2"/>
  <c r="N423" i="2" s="1"/>
  <c r="N117" i="11" l="1"/>
  <c r="I117" i="11"/>
  <c r="O117" i="11"/>
  <c r="L117" i="11"/>
  <c r="O118" i="11"/>
  <c r="N118" i="11"/>
  <c r="J117" i="11"/>
  <c r="I118" i="11"/>
  <c r="K117" i="11"/>
  <c r="AQ10" i="10"/>
  <c r="I52" i="10" s="1"/>
  <c r="AQ22" i="10"/>
  <c r="AQ8" i="10"/>
  <c r="I50" i="10" s="1"/>
  <c r="AQ9" i="10"/>
  <c r="I51" i="10" s="1"/>
  <c r="AQ6" i="10"/>
  <c r="AQ7" i="10"/>
  <c r="I49" i="10" s="1"/>
  <c r="AQ73" i="10"/>
  <c r="AP71" i="10"/>
  <c r="AP70" i="10"/>
  <c r="AP69" i="10"/>
  <c r="AP68" i="10"/>
  <c r="AP67" i="10"/>
  <c r="AP66" i="10"/>
  <c r="AP65" i="10"/>
  <c r="AP64" i="10"/>
  <c r="AP85" i="10"/>
  <c r="AP72" i="10" s="1"/>
  <c r="AQ77" i="10"/>
  <c r="AQ85" i="10" s="1"/>
  <c r="N215" i="1"/>
  <c r="N219" i="1" s="1"/>
  <c r="C221" i="1"/>
  <c r="E222" i="1"/>
  <c r="J222" i="1"/>
  <c r="F215" i="1"/>
  <c r="F219" i="1" s="1"/>
  <c r="F221" i="1"/>
  <c r="H215" i="1"/>
  <c r="H219" i="1" s="1"/>
  <c r="M222" i="1"/>
  <c r="H222" i="1"/>
  <c r="E215" i="1"/>
  <c r="E219" i="1" s="1"/>
  <c r="E221" i="1"/>
  <c r="M215" i="1"/>
  <c r="M219" i="1" s="1"/>
  <c r="M221" i="1"/>
  <c r="D215" i="1"/>
  <c r="D219" i="1" s="1"/>
  <c r="D221" i="1"/>
  <c r="K215" i="1"/>
  <c r="K219" i="1" s="1"/>
  <c r="K221" i="1"/>
  <c r="F222" i="1"/>
  <c r="K222" i="1"/>
  <c r="G215" i="1"/>
  <c r="G219" i="1" s="1"/>
  <c r="G221" i="1"/>
  <c r="I215" i="1"/>
  <c r="I219" i="1" s="1"/>
  <c r="J215" i="1"/>
  <c r="J219" i="1" s="1"/>
  <c r="J221" i="1"/>
  <c r="L215" i="1"/>
  <c r="L219" i="1" s="1"/>
  <c r="L221" i="1"/>
  <c r="G222" i="1"/>
  <c r="I222" i="1"/>
  <c r="L222" i="1"/>
  <c r="I48" i="10" l="1"/>
  <c r="I54" i="10" s="1"/>
  <c r="I187" i="10" s="1"/>
  <c r="AQ13" i="10"/>
  <c r="K98" i="10"/>
  <c r="I186" i="10" s="1"/>
  <c r="AQ72" i="10"/>
  <c r="K97" i="10" s="1"/>
  <c r="AQ71" i="10"/>
  <c r="K96" i="10" s="1"/>
  <c r="AQ70" i="10"/>
  <c r="K95" i="10" s="1"/>
  <c r="AQ69" i="10"/>
  <c r="AQ68" i="10"/>
  <c r="K93" i="10" s="1"/>
  <c r="AQ67" i="10"/>
  <c r="K92" i="10" s="1"/>
  <c r="AQ66" i="10"/>
  <c r="K91" i="10" s="1"/>
  <c r="AQ65" i="10"/>
  <c r="K90" i="10" s="1"/>
  <c r="AQ64" i="10"/>
  <c r="K89" i="10" s="1"/>
  <c r="I189" i="10" l="1"/>
  <c r="F217" i="10" s="1"/>
  <c r="K94" i="10"/>
  <c r="AQ74" i="10"/>
  <c r="F215" i="10" l="1"/>
  <c r="F214" i="10"/>
  <c r="F218" i="10"/>
  <c r="F216" i="10"/>
  <c r="F219" i="10" l="1"/>
  <c r="G442" i="2"/>
  <c r="I442" i="2"/>
  <c r="H442" i="2"/>
  <c r="E442" i="2"/>
  <c r="L442" i="2"/>
  <c r="C442" i="2"/>
  <c r="K442" i="2"/>
  <c r="F442" i="2"/>
  <c r="D442" i="2"/>
  <c r="J442" i="2"/>
  <c r="I442" i="16"/>
  <c r="J442" i="16"/>
  <c r="H442" i="16"/>
  <c r="C442" i="16"/>
  <c r="E442" i="16"/>
  <c r="G442" i="16"/>
  <c r="F442" i="16"/>
  <c r="K442" i="16"/>
  <c r="D442" i="16"/>
  <c r="L44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N99" authorId="0" shapeId="0" xr:uid="{84BFCE9F-09BD-40AF-A7B8-7F934720EDE3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an estimation</t>
        </r>
      </text>
    </comment>
    <comment ref="N101" authorId="0" shapeId="0" xr:uid="{55F1B00E-C513-4DAC-82C8-B6C4A40D1DD9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An estimation</t>
        </r>
      </text>
    </comment>
    <comment ref="I181" authorId="0" shapeId="0" xr:uid="{D38B1AA0-F6CB-44B1-A66C-31E447B90B53}">
      <text>
        <r>
          <rPr>
            <b/>
            <sz val="9"/>
            <color rgb="FF000000"/>
            <rFont val="Tahoma"/>
            <family val="2"/>
          </rPr>
          <t>Inge Roos:</t>
        </r>
        <r>
          <rPr>
            <sz val="9"/>
            <color rgb="FF000000"/>
            <rFont val="Tahoma"/>
            <family val="2"/>
          </rPr>
          <t xml:space="preserve">
One wood processing company built its own CHP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B5" authorId="0" shapeId="0" xr:uid="{1D0B7FDF-7128-420C-88C9-84C968EA4C77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Source: Database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N99" authorId="0" shapeId="0" xr:uid="{4222B665-4277-42C8-82A2-DD67D74850F1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an estimation</t>
        </r>
      </text>
    </comment>
    <comment ref="N101" authorId="0" shapeId="0" xr:uid="{032FA3FA-231B-4936-84FF-76C184D550A2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An estimation</t>
        </r>
      </text>
    </comment>
    <comment ref="I181" authorId="0" shapeId="0" xr:uid="{5036EDEB-AD2E-4AF0-A654-7511F7680F1F}">
      <text>
        <r>
          <rPr>
            <b/>
            <sz val="9"/>
            <color rgb="FF000000"/>
            <rFont val="Tahoma"/>
            <family val="2"/>
          </rPr>
          <t>Inge Roos:</t>
        </r>
        <r>
          <rPr>
            <sz val="9"/>
            <color rgb="FF000000"/>
            <rFont val="Tahoma"/>
            <family val="2"/>
          </rPr>
          <t xml:space="preserve">
One wood processing company built its own CHP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A164" authorId="0" shapeId="0" xr:uid="{D34CBC51-2BE3-4291-9330-E1ACB4403188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freight traffic in domestic transport ; ainult riigisisene kaubavedu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A164" authorId="0" shapeId="0" xr:uid="{70482F2F-3285-4A2A-86E2-315A204432E4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freight traffic in domestic transport ; ainult riigisisene kaubavedu</t>
        </r>
      </text>
    </comment>
    <comment ref="N282" authorId="0" shapeId="0" xr:uid="{AC3BFEA1-511A-4CE6-83DA-890A6E03662A}">
      <text>
        <r>
          <rPr>
            <b/>
            <sz val="9"/>
            <color indexed="81"/>
            <rFont val="Tahoma"/>
            <family val="2"/>
            <charset val="186"/>
          </rPr>
          <t>Inge Roos:</t>
        </r>
        <r>
          <rPr>
            <sz val="9"/>
            <color indexed="81"/>
            <rFont val="Tahoma"/>
            <family val="2"/>
            <charset val="186"/>
          </rPr>
          <t xml:space="preserve">
Andmed saadud Eesti Keskkonnaagentuurist Helen Heintalu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A37" authorId="0" shapeId="0" xr:uid="{F1D1E2DD-3FF0-46C0-B0B4-BDF95486596F}">
      <text>
        <r>
          <rPr>
            <b/>
            <sz val="9"/>
            <color indexed="81"/>
            <rFont val="Tahoma"/>
            <family val="2"/>
            <charset val="186"/>
          </rPr>
          <t>Inge Roos: Until 2020, it also includes hotels and restaurants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Roos</author>
  </authors>
  <commentList>
    <comment ref="A54" authorId="0" shapeId="0" xr:uid="{52316172-1764-409B-AB12-9202FC85AD74}">
      <text>
        <r>
          <rPr>
            <b/>
            <sz val="9"/>
            <color indexed="81"/>
            <rFont val="Tahoma"/>
            <family val="2"/>
            <charset val="186"/>
          </rPr>
          <t>Inge Roos: Until 2020, it also includes hotels and restaurants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<sst xmlns="http://schemas.openxmlformats.org/spreadsheetml/2006/main" count="7293" uniqueCount="1289">
  <si>
    <t>Sources</t>
  </si>
  <si>
    <t xml:space="preserve">Sources </t>
  </si>
  <si>
    <t>List of the data sources of the sectorial sheet tabs.</t>
  </si>
  <si>
    <t xml:space="preserve">Source short name </t>
  </si>
  <si>
    <t xml:space="preserve">Source complete name </t>
  </si>
  <si>
    <t>Web link</t>
  </si>
  <si>
    <t>Quality of source</t>
  </si>
  <si>
    <t>Qualification of the source quality</t>
  </si>
  <si>
    <t>SE</t>
  </si>
  <si>
    <t>Eesti statistikaamet (Statistics Estonia)</t>
  </si>
  <si>
    <t>https://www.stat.ee</t>
  </si>
  <si>
    <t>A</t>
  </si>
  <si>
    <t>Eurostat</t>
  </si>
  <si>
    <t>European Statistics</t>
  </si>
  <si>
    <t>https://ec.europa.eu/Eurostat/data/database</t>
  </si>
  <si>
    <t>ERA</t>
  </si>
  <si>
    <t>Estonian Road Addministration</t>
  </si>
  <si>
    <t>https://www.mnt.ee/eng/organization/estonian-road-administration</t>
  </si>
  <si>
    <t xml:space="preserve">A : </t>
  </si>
  <si>
    <t>Official statistics</t>
  </si>
  <si>
    <t>EEA-EE</t>
  </si>
  <si>
    <t>Estonian Environment Agency</t>
  </si>
  <si>
    <t>https://www.keskkonnaagentuur.ee/en</t>
  </si>
  <si>
    <t>B</t>
  </si>
  <si>
    <t xml:space="preserve">B : </t>
  </si>
  <si>
    <t>Surveys, modelling estimates (consulting, research, centers, universities…)</t>
  </si>
  <si>
    <t>Taltech</t>
  </si>
  <si>
    <t>Tallinn University of Technology</t>
  </si>
  <si>
    <t>https://www.taltech.ee</t>
  </si>
  <si>
    <t>C</t>
  </si>
  <si>
    <t xml:space="preserve">C : </t>
  </si>
  <si>
    <t>Estimations made by national teams for the project</t>
  </si>
  <si>
    <t>HS</t>
  </si>
  <si>
    <t>Health Statistics and Health Reaseach Database</t>
  </si>
  <si>
    <t>http://pxweb.tai.ee/PXWeb2015/pxweb/et/04THressursid/04THressursid__02Ravivoodid__01Aastastatistika/RV301.px/?rxid=25b1d504-d2e3-444a-b33f-d4063ae85bf4</t>
  </si>
  <si>
    <t>EMoE</t>
  </si>
  <si>
    <t>Estonian Ministry of Environment</t>
  </si>
  <si>
    <t>https://www.envir.ee</t>
  </si>
  <si>
    <r>
      <rPr>
        <sz val="11"/>
        <color theme="1"/>
        <rFont val="Calibri"/>
        <family val="2"/>
      </rPr>
      <t>→</t>
    </r>
    <r>
      <rPr>
        <sz val="11"/>
        <color theme="1"/>
        <rFont val="Verdana"/>
        <family val="2"/>
      </rPr>
      <t xml:space="preserve"> In official statistics, we include:
    - Official statistics/surveys (national statistical office, Eurostat/IEA, Ministries statistics).
    - Model estimations used as official statistics.
    - Data "stamped" by Ministries.</t>
    </r>
  </si>
  <si>
    <t>KNC</t>
  </si>
  <si>
    <t>Kunda Nordic Cement</t>
  </si>
  <si>
    <t>https://www.knc.ee</t>
  </si>
  <si>
    <t>ODYSSEE</t>
  </si>
  <si>
    <t>ODYSSEE Database</t>
  </si>
  <si>
    <t>https://www.odyssee-mure.eu</t>
  </si>
  <si>
    <t>DGMOVE</t>
  </si>
  <si>
    <t>The Commission's Directorate-General for Mobility and Transport</t>
  </si>
  <si>
    <t>https://ec.europa.eu/transport/facts-fundings/statistics/pocketbook-2019_en</t>
  </si>
  <si>
    <t>UNFCCC</t>
  </si>
  <si>
    <t>The United Nations Framework Convention on Climate Change</t>
  </si>
  <si>
    <t>https://unfccc.int/ghg-inventories-annex-i-parties/</t>
  </si>
  <si>
    <t>EHR</t>
  </si>
  <si>
    <t>Building register</t>
  </si>
  <si>
    <t>https://livekluster.ehr.ee/ui/ehr/v1/infoportal/buildingdata</t>
  </si>
  <si>
    <t xml:space="preserve">   Macroeconomic data and energy balance</t>
  </si>
  <si>
    <t>Title</t>
  </si>
  <si>
    <t>Unit</t>
  </si>
  <si>
    <t>Source</t>
  </si>
  <si>
    <t>Private comments</t>
  </si>
  <si>
    <t>1. Data</t>
  </si>
  <si>
    <t>1.1. Socioeconomic data</t>
  </si>
  <si>
    <t>Gross domestic product</t>
  </si>
  <si>
    <t>GDP in current national currency</t>
  </si>
  <si>
    <t>MEUR</t>
  </si>
  <si>
    <t>Database, Table RA0042</t>
  </si>
  <si>
    <t>GDP at constant prices, national currency</t>
  </si>
  <si>
    <t>MEUR2015</t>
  </si>
  <si>
    <t>Exchange rate</t>
  </si>
  <si>
    <t>Exchange rate: national currency / €  (1 for EU euro area after 1999)</t>
  </si>
  <si>
    <t>lc/EUR</t>
  </si>
  <si>
    <t>Exchange rate in ppp: national currency / €</t>
  </si>
  <si>
    <t>Value added and private consumption</t>
  </si>
  <si>
    <t>VA at current prices of agriculture, fishing and forestry</t>
  </si>
  <si>
    <t>Database, Table RAA0042</t>
  </si>
  <si>
    <t>VA at current prices of industry (Section B + C + D + E + F)</t>
  </si>
  <si>
    <t>VA at current prices of tertiary sector</t>
  </si>
  <si>
    <t>VA at constant market prices of agriculture, fishing and forestry</t>
  </si>
  <si>
    <t>VA at constant market prices of industry</t>
  </si>
  <si>
    <t>VA at constant market prices of tertiary sector</t>
  </si>
  <si>
    <t>Private consumption</t>
  </si>
  <si>
    <t>Private consumption at current prices</t>
  </si>
  <si>
    <t>Statistics Estonia, RAA0063</t>
  </si>
  <si>
    <t>Private consumption at constant prices</t>
  </si>
  <si>
    <t>Population</t>
  </si>
  <si>
    <t>k</t>
  </si>
  <si>
    <t>Statistics Estonia, Database, Table RV0211</t>
  </si>
  <si>
    <t>1.2. Total energy supply</t>
  </si>
  <si>
    <t>Total gross inland oil products consumption (excl. international air)</t>
  </si>
  <si>
    <t>ktoe</t>
  </si>
  <si>
    <t>SE, Database, Table KE0240</t>
  </si>
  <si>
    <t>Total gross inland consumption of hard and brown coal (incl. peat)</t>
  </si>
  <si>
    <t>Total gross inland gas consumption</t>
  </si>
  <si>
    <t>Total biomass consumption</t>
  </si>
  <si>
    <t>Nuclear electricity production</t>
  </si>
  <si>
    <t>Hydro-electricity production</t>
  </si>
  <si>
    <t>Wind electricity production</t>
  </si>
  <si>
    <t>Solar electricity production</t>
  </si>
  <si>
    <t>Electricity imports-exports</t>
  </si>
  <si>
    <t>Production of solar heat</t>
  </si>
  <si>
    <t>Electricity production from other fuel (waste,…)</t>
  </si>
  <si>
    <t>Ambient heat consumption</t>
  </si>
  <si>
    <t>Total energy supply</t>
  </si>
  <si>
    <t>Control</t>
  </si>
  <si>
    <t>%</t>
  </si>
  <si>
    <t>Total energy consumption of non-energy uses</t>
  </si>
  <si>
    <t>1.3. Final energy consumption</t>
  </si>
  <si>
    <t>Industry (non-energy uses excluded)</t>
  </si>
  <si>
    <t>Oil products consumption of industry</t>
  </si>
  <si>
    <t>Database, Table KE0240</t>
  </si>
  <si>
    <t xml:space="preserve">  of which diesel, heating oil</t>
  </si>
  <si>
    <t xml:space="preserve">  of which heavy fuel oil</t>
  </si>
  <si>
    <t xml:space="preserve">  of which other oil products</t>
  </si>
  <si>
    <t>Gas consumption of industry</t>
  </si>
  <si>
    <t>Coal consumption of industry</t>
  </si>
  <si>
    <t xml:space="preserve">  of which hard coal</t>
  </si>
  <si>
    <t xml:space="preserve">  of which brown coal (lignite)</t>
  </si>
  <si>
    <t xml:space="preserve">  of which coke</t>
  </si>
  <si>
    <t xml:space="preserve">  of which other solid fuels (peat ..)</t>
  </si>
  <si>
    <t>Electricity consumption of industry</t>
  </si>
  <si>
    <t>Heat consumption of industry</t>
  </si>
  <si>
    <t>Renewable energy consumption of industry, except ambient heat</t>
  </si>
  <si>
    <t>Total consumption of industry</t>
  </si>
  <si>
    <t>Transport</t>
  </si>
  <si>
    <t>Oil products consumption of transport (excl. international air)</t>
  </si>
  <si>
    <t xml:space="preserve">  of which motor gasoline</t>
  </si>
  <si>
    <t xml:space="preserve">  of which diesel</t>
  </si>
  <si>
    <t xml:space="preserve">  of which LPG</t>
  </si>
  <si>
    <t xml:space="preserve">  of which for domestic air transport</t>
  </si>
  <si>
    <t xml:space="preserve">  of which residual fuel oil</t>
  </si>
  <si>
    <t>Gas consumption of transport</t>
  </si>
  <si>
    <t>Hard and brown coal consumption of transport</t>
  </si>
  <si>
    <t>Electricity consumption of transport</t>
  </si>
  <si>
    <t>Biofuels consumption of transports</t>
  </si>
  <si>
    <t>Total consumption of transport (excl. international air)</t>
  </si>
  <si>
    <t>Control total consumption</t>
  </si>
  <si>
    <t>Control oil products</t>
  </si>
  <si>
    <t>Residential</t>
  </si>
  <si>
    <t>Oil products consumption of residential</t>
  </si>
  <si>
    <t xml:space="preserve">  of which heating oil</t>
  </si>
  <si>
    <t xml:space="preserve">  of which fuel oil</t>
  </si>
  <si>
    <t>Gas consumption of residential</t>
  </si>
  <si>
    <t>Coal consumption of residential</t>
  </si>
  <si>
    <t xml:space="preserve">  of which peat</t>
  </si>
  <si>
    <t>Electricity consumption of residential</t>
  </si>
  <si>
    <t>Heat consumption of residential</t>
  </si>
  <si>
    <t>Renewables consumption of residential, except ambient heat</t>
  </si>
  <si>
    <t xml:space="preserve">  of which wood, wastes and biogas</t>
  </si>
  <si>
    <t xml:space="preserve">  of which renewable heat, except ambient heat (solar, geothermal)</t>
  </si>
  <si>
    <t>Total consumption of households</t>
  </si>
  <si>
    <t>Agriculture, fishing and forestry</t>
  </si>
  <si>
    <t>Oil products consumption of agriculture, fishing and forestry</t>
  </si>
  <si>
    <t>Gas consumption of agriculture, fishing and forestry</t>
  </si>
  <si>
    <t>Coal consumption of agriculture, fishing and forestry</t>
  </si>
  <si>
    <t>Electricity consumption of agriculture, fishing and forestry</t>
  </si>
  <si>
    <t>Heat consumption of agriculture, fishing and forestry</t>
  </si>
  <si>
    <t>Renewables consumption of agriculture, fishing and forestry, except ambient heat (wood, waste…)</t>
  </si>
  <si>
    <t>Total consumption of agriculture, fishing and forestry</t>
  </si>
  <si>
    <t>Tertiary and others</t>
  </si>
  <si>
    <t>Oil products consumption of tertiary and others</t>
  </si>
  <si>
    <t>Gas consumption of tertiary and others</t>
  </si>
  <si>
    <t>Coal consumption of tertiary and others</t>
  </si>
  <si>
    <t>Electricity consumption of tertiary and others</t>
  </si>
  <si>
    <t>Heat consumption of tertiary and others</t>
  </si>
  <si>
    <t>Renewables consumption of tertiary and others, except ambient heat (wood, waste ...)</t>
  </si>
  <si>
    <t>Total consumption of tertiary &amp; others</t>
  </si>
  <si>
    <t>Residential, tertiary and agriculture</t>
  </si>
  <si>
    <t>Oil products consumption of residential, tertiary, agriculture</t>
  </si>
  <si>
    <t>Gas consumption of residential, tertiary, agriculture</t>
  </si>
  <si>
    <t>Coal consumption of residential, tertiary, agriculture</t>
  </si>
  <si>
    <t>Electricity consumption of residential, tertiary, agriculture</t>
  </si>
  <si>
    <t>Heat consumption of residential, tertiary, agriculture</t>
  </si>
  <si>
    <t>Renewables consumption of residential, tertiary, agriculture, except ambient heat (wood, waste, solar…)</t>
  </si>
  <si>
    <t xml:space="preserve">Total consumption of residential, tertiary, agriculture </t>
  </si>
  <si>
    <t>International air consumption</t>
  </si>
  <si>
    <t xml:space="preserve">1.4. Degree Days </t>
  </si>
  <si>
    <t>Heating degree days</t>
  </si>
  <si>
    <t>Degree days, base 18°c (national sources)</t>
  </si>
  <si>
    <t>degree</t>
  </si>
  <si>
    <t>https://ec.europa.eu/eurostat/databrowser/view/nrg_chdd_a/default/table?lang=en</t>
  </si>
  <si>
    <t>Long term average degree days, base 18°c (national sources)</t>
  </si>
  <si>
    <t/>
  </si>
  <si>
    <t>Cooling degree days</t>
  </si>
  <si>
    <t>Number of cooling degree days (air conditioning)</t>
  </si>
  <si>
    <t>2. Data control</t>
  </si>
  <si>
    <t>Total value added (% of GDP)</t>
  </si>
  <si>
    <t>around 90%</t>
  </si>
  <si>
    <t>Ratio Final energy consumption / Total energy supply</t>
  </si>
  <si>
    <t>60-80%</t>
  </si>
  <si>
    <t>Final energy consumption (sum by sector compared to total)</t>
  </si>
  <si>
    <t>Consistency: share of VA of sector in total GDP</t>
  </si>
  <si>
    <t>Share of agriculture, fishing and forestry in GDP</t>
  </si>
  <si>
    <t>Share of industry in GDP</t>
  </si>
  <si>
    <t>Share of tertiary in GDP</t>
  </si>
  <si>
    <t xml:space="preserve">Control (sum must be around 90% of GDP) </t>
  </si>
  <si>
    <t>Economic data in M€2015</t>
  </si>
  <si>
    <t>GDP in constant euros of 2015</t>
  </si>
  <si>
    <t>Value added of agriculture, fishing and forestry in M€2015</t>
  </si>
  <si>
    <t>Value added of industry in M€2015</t>
  </si>
  <si>
    <t>Value added of tertiary in M€2015</t>
  </si>
  <si>
    <t>Private consumption in M€2015</t>
  </si>
  <si>
    <t>GDP per inhabitant</t>
  </si>
  <si>
    <t>kEUR2010/inh</t>
  </si>
  <si>
    <t>Harmonization of energy data : all data expressed in Mtoe</t>
  </si>
  <si>
    <t>Mtoe</t>
  </si>
  <si>
    <t>Final consumption</t>
  </si>
  <si>
    <t xml:space="preserve">  of which electricity</t>
  </si>
  <si>
    <t>Industry energy consumption</t>
  </si>
  <si>
    <t>Transport energy consumption</t>
  </si>
  <si>
    <t xml:space="preserve">  of which domestic air transport</t>
  </si>
  <si>
    <t>Households energy consumption</t>
  </si>
  <si>
    <t>Tertiary energy consumption</t>
  </si>
  <si>
    <t>Control: sum of sectors compared to final consumption</t>
  </si>
  <si>
    <t>Households energy consumption with climatic corrections</t>
  </si>
  <si>
    <t>Tertiary energy consumption with climatic corrections</t>
  </si>
  <si>
    <t>Final consumption with climatic corrections</t>
  </si>
  <si>
    <t>Total energy supply with climatic corrections</t>
  </si>
  <si>
    <t>3. Selection of main indicators</t>
  </si>
  <si>
    <t>Total energy supply intensity</t>
  </si>
  <si>
    <t>koe/EUR2015</t>
  </si>
  <si>
    <t>Total energy supply intensity with climatic corrections</t>
  </si>
  <si>
    <t>Final intensity</t>
  </si>
  <si>
    <t>Final intensity with climatic corrections</t>
  </si>
  <si>
    <t>Ratio final/primary intensity</t>
  </si>
  <si>
    <t>https://ec.europa.eu/eurostat/databrowser/view/ert_bil_eur_a/default/table?lang=en</t>
  </si>
  <si>
    <t>GWh</t>
  </si>
  <si>
    <t xml:space="preserve">Tertiary </t>
  </si>
  <si>
    <t>TWh</t>
  </si>
  <si>
    <t>MWh/EUR2015</t>
  </si>
  <si>
    <t>1.1. Value added by branch at current prices</t>
  </si>
  <si>
    <t>Manufacturing industries</t>
  </si>
  <si>
    <t>VA  of food, beverage, tobacco (Nace 10,11,12)</t>
  </si>
  <si>
    <t xml:space="preserve"> DataBase, Table RAA0046</t>
  </si>
  <si>
    <t>VA  of textiles, clothing, leather (Nace 13,14,15)</t>
  </si>
  <si>
    <t>VA  of wood industry (Nace 16)</t>
  </si>
  <si>
    <t>VA  of paper and printing (Nace 17,18)</t>
  </si>
  <si>
    <t xml:space="preserve">  VA  of paper and board (Nace 17)</t>
  </si>
  <si>
    <t>VA  of refining (Nace 19)</t>
  </si>
  <si>
    <t>VA  of chemicals (Nace 20,21)</t>
  </si>
  <si>
    <t>VA  of non metallic minerals (Nace 23)</t>
  </si>
  <si>
    <t>VA  of primary metals (Nace 24)</t>
  </si>
  <si>
    <t>VA  of machinery &amp; metal products (Nace 25,26,27,28)</t>
  </si>
  <si>
    <t xml:space="preserve">  VA of fabricated metals  (Nace 25)</t>
  </si>
  <si>
    <t>VA  of  transport equipment  (Nace 29,30)</t>
  </si>
  <si>
    <t>VA  of other manufacturing (Nace 22,31,32)</t>
  </si>
  <si>
    <t xml:space="preserve">  VA  of rubber and plastics (Nace 22)</t>
  </si>
  <si>
    <t>VA  of manufacturing industry (Section C, Nace 10-32)</t>
  </si>
  <si>
    <t>Control of VA manufacturing industry (sum of branches compared to total)</t>
  </si>
  <si>
    <t>Other industries</t>
  </si>
  <si>
    <t>VA  of mines and quarrying (Nace 05 to 09)</t>
  </si>
  <si>
    <t>VA  of electricity, gas, water (Nace 35 to 39)</t>
  </si>
  <si>
    <t>VA  of construction (Nace 41 to 43)</t>
  </si>
  <si>
    <t>1.2. Value added by branch at constant prices</t>
  </si>
  <si>
    <t>Control VA manufacturing industry (sum of branches compared to total)</t>
  </si>
  <si>
    <t>VA  of  electricity, gas, water (Nace 35 to 39)</t>
  </si>
  <si>
    <t>1.3. Production index and physical production of industry</t>
  </si>
  <si>
    <t>Manufacturing industry</t>
  </si>
  <si>
    <t>Production index of food, beverage and tobacco (Nace 10,11,12)</t>
  </si>
  <si>
    <t>2015=100</t>
  </si>
  <si>
    <t xml:space="preserve"> Database,  Table RAA0046</t>
  </si>
  <si>
    <t>Production index of textiles, clothing, leather (Nace 13,14,15)</t>
  </si>
  <si>
    <t>Production index of wood industry (Nace 16)</t>
  </si>
  <si>
    <t>Production index of paper and printing products  (Nace 17,18)</t>
  </si>
  <si>
    <t xml:space="preserve">  Production index of paper and board (Nace 17)</t>
  </si>
  <si>
    <t>Production index of chemicals (Nace 20,21)</t>
  </si>
  <si>
    <t>Production index of non metallic minerals (Nace 23)</t>
  </si>
  <si>
    <t>Production index of primary metal industry (Nace 24)</t>
  </si>
  <si>
    <t>Production index  of machinery (Nace 25,26,27,28)</t>
  </si>
  <si>
    <t xml:space="preserve">  Production index of fabricated  metal (Nace 25)</t>
  </si>
  <si>
    <t>Production index  of transport equipment  (Nace 29,30)</t>
  </si>
  <si>
    <t>Production index of other manufacturing (Nace 22,31,32)</t>
  </si>
  <si>
    <t xml:space="preserve">  Production index of  rubber &amp; plastics products (Nace 22)</t>
  </si>
  <si>
    <t>Production index of manufacturing industry (Section C, Nace 10-32)</t>
  </si>
  <si>
    <t>Production index of mines (Nace 05 to 09)</t>
  </si>
  <si>
    <t>Production index of construction (41 to 43)</t>
  </si>
  <si>
    <t>Production index of industry</t>
  </si>
  <si>
    <t>Physical production</t>
  </si>
  <si>
    <t>Production of crude steel</t>
  </si>
  <si>
    <t>kt</t>
  </si>
  <si>
    <t xml:space="preserve"> Database, Table TO16</t>
  </si>
  <si>
    <t xml:space="preserve">  of which non electric crude steel</t>
  </si>
  <si>
    <t xml:space="preserve">  of which electric crude steel</t>
  </si>
  <si>
    <t>Production of cement</t>
  </si>
  <si>
    <t>Database, Table TO030</t>
  </si>
  <si>
    <t>Production of clinker</t>
  </si>
  <si>
    <t>Production of ammonia</t>
  </si>
  <si>
    <t>Production of paper</t>
  </si>
  <si>
    <t>Production of paper pulp</t>
  </si>
  <si>
    <t>Statistics Estonia, Database, Table TO18</t>
  </si>
  <si>
    <t xml:space="preserve">  of which mechanical paper pulp</t>
  </si>
  <si>
    <t xml:space="preserve">  of which chemical paper pulp</t>
  </si>
  <si>
    <t>Production of glass</t>
  </si>
  <si>
    <t>76.7</t>
  </si>
  <si>
    <t>https://unfccc.int/ghg-inventories-annex-i-parties/2022</t>
  </si>
  <si>
    <t xml:space="preserve">  of which flat glass</t>
  </si>
  <si>
    <t xml:space="preserve">  of which bottle glass</t>
  </si>
  <si>
    <t>1.4. Final energy consumption of manufacturing industry by branch</t>
  </si>
  <si>
    <t>Manufacturing (Section C, Nace 10 to 32)</t>
  </si>
  <si>
    <t>Oil products consumption of manufacturing industry</t>
  </si>
  <si>
    <t xml:space="preserve">  of which diesel oil</t>
  </si>
  <si>
    <t xml:space="preserve">  of which other petroleum</t>
  </si>
  <si>
    <t>Gas final consumption of manufacturing industry</t>
  </si>
  <si>
    <t xml:space="preserve">  of which natural gas</t>
  </si>
  <si>
    <t xml:space="preserve">  of which manufactured gas (purchased + self produced)</t>
  </si>
  <si>
    <t>Coal final consumption of manufacturing industry</t>
  </si>
  <si>
    <t xml:space="preserve">  of which brown coal (oil shale)</t>
  </si>
  <si>
    <t>Heat final consumption (purchased) of manufacturing industry</t>
  </si>
  <si>
    <t>Electricity final consumption (purchased + self produced) of manufacturing industry</t>
  </si>
  <si>
    <t>Other final consumption of manufacturing industry (wood, wastes), except ambient heat</t>
  </si>
  <si>
    <t>Total final energy consumption of manufacturing industry</t>
  </si>
  <si>
    <t>Food, beverage and tobacco (Nace 10,11,12)</t>
  </si>
  <si>
    <t>Oil products consumption of food, beverage and tobacco</t>
  </si>
  <si>
    <t>Gas final consumption of food, beverage and tobacco</t>
  </si>
  <si>
    <t>Coal final consumption of food, beverage and tobacco</t>
  </si>
  <si>
    <t xml:space="preserve">  of which brown coal</t>
  </si>
  <si>
    <t>Heat final consumption (purchased) of  food, beverage and tobacco</t>
  </si>
  <si>
    <t>Electricity final consumption (purchased + self produced) of food, beverage and tobacco</t>
  </si>
  <si>
    <t>Other final consumption of food, beverage and tobacco (wood, wastes), except ambient heat</t>
  </si>
  <si>
    <t>Total final energy consumption of food, beverage and tobacco</t>
  </si>
  <si>
    <t>Textiles, clothing, leather and footwear (Nace 13,14,15)</t>
  </si>
  <si>
    <t>Oil products consumption of textiles, clothing, leather and footwear</t>
  </si>
  <si>
    <t>Gas final consumption of textiles, clothing, leather and footwear</t>
  </si>
  <si>
    <t>Coal final consumption of textiles, clothing, leather and footwear</t>
  </si>
  <si>
    <t>Heat final consumption (purchased) of  textiles, clothing, leather and footwear</t>
  </si>
  <si>
    <t>Electricity final consumption (purchased + self produced) of textiles, clothing, leather and footwear</t>
  </si>
  <si>
    <t>Other final consumption of textiles, clothing, leather and footwear (wood, wastes), except ambient heat</t>
  </si>
  <si>
    <t>Total final energy consumption of textiles, clothing, leather and footwear</t>
  </si>
  <si>
    <t>Wood, wood products (Nace 16)</t>
  </si>
  <si>
    <t>Oil products consumption of wood</t>
  </si>
  <si>
    <t>Gas final consumption of wood</t>
  </si>
  <si>
    <t>Coal final consumption of wood</t>
  </si>
  <si>
    <t>Heat final consumption (purchased) of  wood</t>
  </si>
  <si>
    <t>Electricity final consumption (purchased + self produced) of wood</t>
  </si>
  <si>
    <t>Other final consumption of wood (wood, wastes), except ambient heat</t>
  </si>
  <si>
    <t>Total final energy consumption of wood</t>
  </si>
  <si>
    <t>Paper, pulp and printing products (Nace 17,18)</t>
  </si>
  <si>
    <t>Oil products consumption of paper, pulp and printing products</t>
  </si>
  <si>
    <t>Gas final consumption of paper, pulp and printing products</t>
  </si>
  <si>
    <t>Coal final consumption of paper, pulp and printing products</t>
  </si>
  <si>
    <t>Heat final consumption (purchased) of paper, pulp and printing products</t>
  </si>
  <si>
    <t>Electricity final consumption (purchased + self produced) of paper, pulp and printing products</t>
  </si>
  <si>
    <t>Other final consumption of paper, pulp and printing products (wood, wastes), except ambient heat</t>
  </si>
  <si>
    <t>Total final energy consumption of paper, pulp and printing products</t>
  </si>
  <si>
    <t>Chemicals (Nace 20,21)</t>
  </si>
  <si>
    <t>Oil products consumption of chemicals</t>
  </si>
  <si>
    <t>Gas final consumption of chemicals</t>
  </si>
  <si>
    <t>Coal final consumption of chemicals</t>
  </si>
  <si>
    <t>Heat final consumption (purchased) of chemicals</t>
  </si>
  <si>
    <t>Electricity final consumption (purchased + self produced) of chemicals</t>
  </si>
  <si>
    <t>Other final consumption of chemicals (wood, wastes), except ambient heat</t>
  </si>
  <si>
    <t>Total final energy consumption of chemicals</t>
  </si>
  <si>
    <t>Non metallic minerals (Nace 23)</t>
  </si>
  <si>
    <t>Oil products consumption of non metallic minerals</t>
  </si>
  <si>
    <t>Gas final consumption of non metallic minerals</t>
  </si>
  <si>
    <t>Coal final consumption of non metallic minerals</t>
  </si>
  <si>
    <t>Heat final consumption (purchased) of non metallic minerals</t>
  </si>
  <si>
    <t>Electricity final consumption (purchased + self produced) of non metallic minerals</t>
  </si>
  <si>
    <t>Other final consumption of non metallic minerals (wood, wastes), except ambient heat</t>
  </si>
  <si>
    <t>Total final energy consumption of non metallic minerals</t>
  </si>
  <si>
    <t>Steel (Nace 24.1-24.2-24.3-24.51-24.52)</t>
  </si>
  <si>
    <t>Oil products consumption of steel</t>
  </si>
  <si>
    <t>Gas final consumption of steel</t>
  </si>
  <si>
    <t>Coal final consumption of steel</t>
  </si>
  <si>
    <t>Heat final consumption (purchased) of steel</t>
  </si>
  <si>
    <t>Electricity final consumption (purchased + self produced) of steel</t>
  </si>
  <si>
    <t>Other final consumption of steel (wood, wastes), except ambient heat</t>
  </si>
  <si>
    <t>Total final energy consumption of steel</t>
  </si>
  <si>
    <t>Non ferrous metals (Nace 24.4-24.53-24.54)</t>
  </si>
  <si>
    <t>Oil products consumption of non ferrous metals</t>
  </si>
  <si>
    <t>Gas final consumption of non ferrous metals</t>
  </si>
  <si>
    <t>Coal final consumption of non ferrous metals</t>
  </si>
  <si>
    <t>Heat final consumption (purchased) of non ferrous metals</t>
  </si>
  <si>
    <t>Electricity final consumption (purchased + self produced) of non ferrous metals</t>
  </si>
  <si>
    <t>Other final consumption of non ferrous metals (wood, wastes), except ambient heat</t>
  </si>
  <si>
    <t>Total final energy consumption of non ferrous metals</t>
  </si>
  <si>
    <t>Machinery and metal products (Nace 25,26,27,28)</t>
  </si>
  <si>
    <t>Oil products consumption of machinery</t>
  </si>
  <si>
    <t>Gas final consumption of machinery</t>
  </si>
  <si>
    <t>Coal final consumption of machinery</t>
  </si>
  <si>
    <t>Heat final consumption (purchased) of machinery</t>
  </si>
  <si>
    <t>Electricity final consumption (purchased + self produced) of machinery</t>
  </si>
  <si>
    <t>Other final consumption of machinery (wood, wastes), except ambient heat</t>
  </si>
  <si>
    <t>Total final energy consumption of machinery</t>
  </si>
  <si>
    <t>Transport equipment (Nace 29,30)</t>
  </si>
  <si>
    <t>Oil products consumption of transport equipment</t>
  </si>
  <si>
    <t>Gas final consumption of transport equipment</t>
  </si>
  <si>
    <t>Coal final consumption of transport equipment</t>
  </si>
  <si>
    <t>Heat final consumption (purchased) of transport equipment</t>
  </si>
  <si>
    <t>Electricity final consumption (purchased + self produced) of transport equipment</t>
  </si>
  <si>
    <t>Other final consumption of transport equipment (wood, wastes), except ambient heat</t>
  </si>
  <si>
    <t>Total final energy consumption of transport equipment</t>
  </si>
  <si>
    <t>Other manufacturing (Nace 22,31,32)</t>
  </si>
  <si>
    <t>1.5. Final energy consumption of other industries by branch</t>
  </si>
  <si>
    <t>Mining and quarrying (Nace 07 to 09)</t>
  </si>
  <si>
    <t>Oil products consumption of mines</t>
  </si>
  <si>
    <t>Gas final consumption of mines</t>
  </si>
  <si>
    <t>Coal final consumption of mines</t>
  </si>
  <si>
    <t>Heat final consumption (purchased) of mines</t>
  </si>
  <si>
    <t>Electricity final consumption (purchased + self produced) of mines</t>
  </si>
  <si>
    <t>Other final consumption of mines (wood, wastes), except ambient heat</t>
  </si>
  <si>
    <t>Total final energy consumption of mines</t>
  </si>
  <si>
    <t>Water processing (Nace 36 to 39)</t>
  </si>
  <si>
    <t>Electricity final consumption of water production/treatment</t>
  </si>
  <si>
    <t>Construction (Nace 41 to 43)</t>
  </si>
  <si>
    <t>Oil products consumption of construction</t>
  </si>
  <si>
    <t>Gas final consumption of construction</t>
  </si>
  <si>
    <t>Coal final consumption of construction</t>
  </si>
  <si>
    <t>Heat final consumption (purchased) of construction</t>
  </si>
  <si>
    <t>Electricity final consumption (purchased + self produced) of construction</t>
  </si>
  <si>
    <t>Other final consumption of construction (wood, wastes), except ambient heat</t>
  </si>
  <si>
    <t>Total final energy consumption of construction</t>
  </si>
  <si>
    <t>1.6. Final energy consumption of energy intensive products</t>
  </si>
  <si>
    <t>Cement</t>
  </si>
  <si>
    <t>Oil products consumption of cement</t>
  </si>
  <si>
    <t>https://www.knc.ee/et/tegevusandmed</t>
  </si>
  <si>
    <t>Gas final consumption of cement</t>
  </si>
  <si>
    <t>Coal final consumption of cement</t>
  </si>
  <si>
    <t>Heat final consumption (purchased) of cement</t>
  </si>
  <si>
    <t>Electricity final consumption (purchased + self produced) of cement</t>
  </si>
  <si>
    <t>Other final consumption of cement (wood, wastes), except ambient heat</t>
  </si>
  <si>
    <t>Total final energy consumption of cement</t>
  </si>
  <si>
    <t>Main controls</t>
  </si>
  <si>
    <t>Final energy consumption (sum of manufacturing branches compared to total manufacturing)</t>
  </si>
  <si>
    <t>Final energy consumption (sum of branches compared to total industry)</t>
  </si>
  <si>
    <t>Value added in Ml2010 (sum of manufacturing branches compared to total manufacturing)</t>
  </si>
  <si>
    <t>Value added in Ml2010 (sum of branches compared to total industry)</t>
  </si>
  <si>
    <t>Harmonization of energy data</t>
  </si>
  <si>
    <t>Final energy consumption of  food</t>
  </si>
  <si>
    <t>Final energy consumption of textile</t>
  </si>
  <si>
    <t>Final energy consumption of wood industry</t>
  </si>
  <si>
    <t>Final energy consumption of paper</t>
  </si>
  <si>
    <t>Final energy consumption of chemicals</t>
  </si>
  <si>
    <t>Final energy consumption of non metallic minerals</t>
  </si>
  <si>
    <t xml:space="preserve">    of which cement</t>
  </si>
  <si>
    <t>Final energy consumption of iron and steel</t>
  </si>
  <si>
    <t>Final energy consumption of  non ferrous</t>
  </si>
  <si>
    <t>Final energy consumption of  machinery &amp; metal products</t>
  </si>
  <si>
    <t xml:space="preserve">    of which  fabricated metals</t>
  </si>
  <si>
    <t>Final energy consumption of  transport vehicles</t>
  </si>
  <si>
    <t>Final energy consumption of  other manufacturing</t>
  </si>
  <si>
    <t xml:space="preserve">     of which rubber and plastics</t>
  </si>
  <si>
    <t>Final energy consumption of manufacturing (sum of branches)</t>
  </si>
  <si>
    <t>Final energy consumption of  manufacturing</t>
  </si>
  <si>
    <t>Consistency: sum of branches compared to manufacturing</t>
  </si>
  <si>
    <t>Final energy consumption of mining</t>
  </si>
  <si>
    <t>Final energy consumption of water processing</t>
  </si>
  <si>
    <t>Final energy consumption of  construction</t>
  </si>
  <si>
    <t>Final energy consumption of industry (sum of branches)</t>
  </si>
  <si>
    <t>Final energy consumption of  industry</t>
  </si>
  <si>
    <t>Consistency: sum of branches compared to total industry</t>
  </si>
  <si>
    <t>Use of non conventional fuel : cement</t>
  </si>
  <si>
    <t>Use of non conventional fuel : paper</t>
  </si>
  <si>
    <t>Use of non conventional fuel : industry</t>
  </si>
  <si>
    <t>VA  of food, beverage, tobacco</t>
  </si>
  <si>
    <t>VA  of textiles, clothing, leather</t>
  </si>
  <si>
    <t>VA  of wood industry</t>
  </si>
  <si>
    <t xml:space="preserve">VA  of paper and printing </t>
  </si>
  <si>
    <t xml:space="preserve">     VA  of paper and board </t>
  </si>
  <si>
    <t xml:space="preserve">VA  of coke and refined products </t>
  </si>
  <si>
    <t>VA  of chemicals</t>
  </si>
  <si>
    <t>VA  of non metallic minerals</t>
  </si>
  <si>
    <t>VA  of primary metals</t>
  </si>
  <si>
    <t>VA  of machinery &amp; metal products</t>
  </si>
  <si>
    <t xml:space="preserve">     VA of fabricated metals</t>
  </si>
  <si>
    <t>VA  of  transport equipment</t>
  </si>
  <si>
    <t>VA  of other manufacturing</t>
  </si>
  <si>
    <t xml:space="preserve">     VA  of rubber and plastics</t>
  </si>
  <si>
    <t>Sum of branches manufacturing industry</t>
  </si>
  <si>
    <t>VA  of manufacturing industry (Section D, nace 15-37)</t>
  </si>
  <si>
    <t>Consistency:  sum of branches compared to total manufacturing</t>
  </si>
  <si>
    <t>VA  of mines and quarrying</t>
  </si>
  <si>
    <t>VA  of  electricity, gas, water</t>
  </si>
  <si>
    <t>VA  of construction</t>
  </si>
  <si>
    <t>Sum of branches overall industry</t>
  </si>
  <si>
    <t>VA of overall industry</t>
  </si>
  <si>
    <t>Consistency:  sum of branches compared to total industry</t>
  </si>
  <si>
    <t>Energy intensity of branches</t>
  </si>
  <si>
    <t xml:space="preserve">Final energy intensity of  food </t>
  </si>
  <si>
    <t xml:space="preserve">Final energy intensity of textile </t>
  </si>
  <si>
    <t>Final energy intensity of wood</t>
  </si>
  <si>
    <t>Final energy intensity of paper</t>
  </si>
  <si>
    <t>Final energy intensity of chemicals</t>
  </si>
  <si>
    <t>Final energy intensity of non metallic minerals</t>
  </si>
  <si>
    <t>Final energy intensity of   primary metals</t>
  </si>
  <si>
    <t>Final energy intensity of   machinery &amp; metal products</t>
  </si>
  <si>
    <t>Final energy intensity of  transport vehicles</t>
  </si>
  <si>
    <t>Final intensity of other manufacturing</t>
  </si>
  <si>
    <t>Final energy intensity of manufacturing (sum of branches)</t>
  </si>
  <si>
    <t>Final energy intensity of manufacturing (with total VA)</t>
  </si>
  <si>
    <t>Final intensity of mining</t>
  </si>
  <si>
    <t>Final intensity of construction</t>
  </si>
  <si>
    <t>Final energy intensity of industry (sum of branches)</t>
  </si>
  <si>
    <t>Final energy intensity of industry (with total VA)</t>
  </si>
  <si>
    <t>Unit consumption of energy intensive products</t>
  </si>
  <si>
    <t>Unit consumption of steel</t>
  </si>
  <si>
    <t>toe/ton</t>
  </si>
  <si>
    <t>Unit consumption of cement</t>
  </si>
  <si>
    <t>Unit consumption of paper</t>
  </si>
  <si>
    <t>Baseline scenario of INDUSTRY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</si>
  <si>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</si>
  <si>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</si>
  <si>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</si>
  <si>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</si>
  <si>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</si>
  <si>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</si>
  <si>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</si>
  <si>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</si>
  <si>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</si>
  <si>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</si>
  <si>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</si>
  <si>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</si>
  <si>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</si>
  <si>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</si>
  <si>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</si>
  <si>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</si>
  <si>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</si>
  <si>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</si>
  <si>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</si>
  <si>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</si>
  <si>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</si>
  <si>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</si>
  <si>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</si>
  <si>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</si>
  <si>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</si>
  <si>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</si>
  <si>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</si>
  <si>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</si>
  <si>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</si>
  <si>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</si>
  <si>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</si>
  <si>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</si>
  <si>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</si>
  <si>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</si>
  <si>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</si>
  <si>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</si>
  <si>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</si>
  <si>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</si>
  <si>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</si>
  <si>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</si>
  <si>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</si>
  <si>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Oil products </t>
  </si>
  <si>
    <t>Gas</t>
  </si>
  <si>
    <t>Solid fuels</t>
  </si>
  <si>
    <t>Biomass</t>
  </si>
  <si>
    <t>Heat</t>
  </si>
  <si>
    <t>Electricity</t>
  </si>
  <si>
    <t>Total final energy consumption of Industry</t>
  </si>
  <si>
    <t>Share in sector's energy consumption</t>
  </si>
  <si>
    <t>Oil</t>
  </si>
  <si>
    <t xml:space="preserve">Gas </t>
  </si>
  <si>
    <t xml:space="preserve">Coal </t>
  </si>
  <si>
    <t xml:space="preserve">RenewableS </t>
  </si>
  <si>
    <t xml:space="preserve">Heat </t>
  </si>
  <si>
    <t xml:space="preserve">Electricity </t>
  </si>
  <si>
    <t>Assumptions of basline forecast of Industry</t>
  </si>
  <si>
    <t>From 2024, the sector's energy consumption will increase by approximately 1.5% per year</t>
  </si>
  <si>
    <t xml:space="preserve">It is assumed that by 2030 a new bio products factory, Estonian Cell second factori and the other companies contrabuting the green deel  will be completed in Estonia, </t>
  </si>
  <si>
    <t>This is made possible by the new electricity production capacities based on renewable energy, which will be continuously built starting in 2024</t>
  </si>
  <si>
    <t>Figure 17. Final energy consumption forecast of industry </t>
  </si>
  <si>
    <t>Share</t>
  </si>
  <si>
    <t xml:space="preserve">Heat final consumption </t>
  </si>
  <si>
    <t>Electricity final consumption</t>
  </si>
  <si>
    <t>EU ref scenario 2020</t>
  </si>
  <si>
    <t>Baseline scenario of TRANSPORT</t>
  </si>
  <si>
    <t>Energy consumption, GWh</t>
  </si>
  <si>
    <t>Gasoline</t>
  </si>
  <si>
    <t>Diesel oil</t>
  </si>
  <si>
    <t>Aviation gasoline</t>
  </si>
  <si>
    <t>LPG</t>
  </si>
  <si>
    <t>NGV</t>
  </si>
  <si>
    <t>Biogas</t>
  </si>
  <si>
    <t>Bioethanol</t>
  </si>
  <si>
    <t>Biodiesel</t>
  </si>
  <si>
    <t>Total</t>
  </si>
  <si>
    <t>Change of total consumption</t>
  </si>
  <si>
    <t>Slaids for seminar</t>
  </si>
  <si>
    <t>Main assumptions of the baseline forecast of Transport</t>
  </si>
  <si>
    <t xml:space="preserve">It is assumed that energy consumption in the transport sector will grow according to current trends. </t>
  </si>
  <si>
    <t>In the baseline scenario it is assumed that the total energy consumption will continue to rise by 1% per year.  </t>
  </si>
  <si>
    <r>
      <t>Figure 16. Energy consumption forecast of transportation</t>
    </r>
    <r>
      <rPr>
        <sz val="12"/>
        <color rgb="FF000000"/>
        <rFont val="Times New Roman"/>
        <family val="1"/>
        <charset val="186"/>
      </rPr>
      <t> </t>
    </r>
  </si>
  <si>
    <t>Baseline scenario of Households and Service sectors</t>
  </si>
  <si>
    <t>Main assumptions of the baseline forecast of Households sector</t>
  </si>
  <si>
    <t>The baseline scenario is calculated with the following three key assumptions: </t>
  </si>
  <si>
    <t>Yearly energy weighted renovation rate. </t>
  </si>
  <si>
    <t>Yearly dropout rate of buildings. </t>
  </si>
  <si>
    <t>Yearly new construction rate of buildings. </t>
  </si>
  <si>
    <t>Final energy use in Households, in TWh</t>
  </si>
  <si>
    <t>2010-20219 EH0240</t>
  </si>
  <si>
    <t>Detached</t>
  </si>
  <si>
    <t>Apartment</t>
  </si>
  <si>
    <t>Office</t>
  </si>
  <si>
    <t>Commercial</t>
  </si>
  <si>
    <t>Education</t>
  </si>
  <si>
    <t>Other</t>
  </si>
  <si>
    <t>Sum</t>
  </si>
  <si>
    <t>residential</t>
  </si>
  <si>
    <t>non residential</t>
  </si>
  <si>
    <t>&lt;2000</t>
  </si>
  <si>
    <t>Data from building register</t>
  </si>
  <si>
    <t xml:space="preserve">Total energy </t>
  </si>
  <si>
    <t>ren</t>
  </si>
  <si>
    <t xml:space="preserve">                  -  </t>
  </si>
  <si>
    <t xml:space="preserve">                -  </t>
  </si>
  <si>
    <t xml:space="preserve">                        -  </t>
  </si>
  <si>
    <t>PV export</t>
  </si>
  <si>
    <t>&gt;2000</t>
  </si>
  <si>
    <t>New</t>
  </si>
  <si>
    <t>Final energy use in Service Sector, in TWh</t>
  </si>
  <si>
    <t>Yearly change</t>
  </si>
  <si>
    <t>Dropout</t>
  </si>
  <si>
    <t>Total energy</t>
  </si>
  <si>
    <t>New builidng</t>
  </si>
  <si>
    <t>Final energy use in Household and Service Sector, in TWh</t>
  </si>
  <si>
    <t>Renovation</t>
  </si>
  <si>
    <t>Renovation after 2027</t>
  </si>
  <si>
    <t>-</t>
  </si>
  <si>
    <t>Renovation by building use permits Rekonstrueerimine EH045 ja EH046 Kasutusluba</t>
  </si>
  <si>
    <t>Apartments m2</t>
  </si>
  <si>
    <t>Detached houses m2</t>
  </si>
  <si>
    <t>Non residential m2</t>
  </si>
  <si>
    <t>Baseline scenario of Final energy consumption, TWh</t>
  </si>
  <si>
    <t>Residental</t>
  </si>
  <si>
    <t>Service</t>
  </si>
  <si>
    <t>Industry</t>
  </si>
  <si>
    <t>Agriculture</t>
  </si>
  <si>
    <t>Total Energy</t>
  </si>
  <si>
    <t>Baseline for Agriculture</t>
  </si>
  <si>
    <r>
      <t xml:space="preserve">Figure </t>
    </r>
    <r>
      <rPr>
        <i/>
        <sz val="12"/>
        <color rgb="FF000000"/>
        <rFont val="Times New Roman"/>
        <family val="1"/>
        <charset val="186"/>
      </rPr>
      <t>18</t>
    </r>
    <r>
      <rPr>
        <i/>
        <sz val="12"/>
        <rFont val="Times New Roman"/>
        <family val="1"/>
        <charset val="186"/>
      </rPr>
      <t xml:space="preserve">. Forecast of the baseline of final energy consumption until 2050 </t>
    </r>
  </si>
  <si>
    <r>
      <t xml:space="preserve">Figure </t>
    </r>
    <r>
      <rPr>
        <i/>
        <sz val="12"/>
        <color rgb="FF000000"/>
        <rFont val="Times New Roman"/>
        <family val="1"/>
        <charset val="186"/>
      </rPr>
      <t>19</t>
    </r>
    <r>
      <rPr>
        <i/>
        <sz val="12"/>
        <rFont val="Times New Roman"/>
        <family val="1"/>
        <charset val="186"/>
      </rPr>
      <t xml:space="preserve">. </t>
    </r>
    <r>
      <rPr>
        <sz val="12"/>
        <rFont val="Times New Roman"/>
        <family val="1"/>
        <charset val="186"/>
      </rPr>
      <t>Share of sectors in final energy consumption</t>
    </r>
    <r>
      <rPr>
        <i/>
        <sz val="12"/>
        <rFont val="Times New Roman"/>
        <family val="1"/>
        <charset val="186"/>
      </rPr>
      <t> </t>
    </r>
  </si>
  <si>
    <t>kWh/EUR2015</t>
  </si>
  <si>
    <t>kWh/EUR2016</t>
  </si>
  <si>
    <t>kWh/EUR2017</t>
  </si>
  <si>
    <t>kWh/EUR2018</t>
  </si>
  <si>
    <t>kWh/EUR2019</t>
  </si>
  <si>
    <t>kWh/EUR2020</t>
  </si>
  <si>
    <t>kWh/EUR2021</t>
  </si>
  <si>
    <t>kWh/EUR2022</t>
  </si>
  <si>
    <t>kWh/EUR2023</t>
  </si>
  <si>
    <t>kWh/EUR2024</t>
  </si>
  <si>
    <t>kWh/EUR2025</t>
  </si>
  <si>
    <t>kWh/EUR2026</t>
  </si>
  <si>
    <t>kWh/EUR2027</t>
  </si>
  <si>
    <t>kWh/EUR2028</t>
  </si>
  <si>
    <t>kWh/EUR2029</t>
  </si>
  <si>
    <t>kWh/EUR2030</t>
  </si>
  <si>
    <t>MWh/ton</t>
  </si>
  <si>
    <t>1.1. Stocks of vehicles</t>
  </si>
  <si>
    <t>Cars</t>
  </si>
  <si>
    <t>Stock of cars</t>
  </si>
  <si>
    <t>ERA,SE</t>
  </si>
  <si>
    <t>Estonian Road Administration (ERA)</t>
  </si>
  <si>
    <t>Stock of cars of power &lt; 1300 cm3 or similar</t>
  </si>
  <si>
    <t>Stock of cars of power 1300-2001 cm3 or similar</t>
  </si>
  <si>
    <t>Stock of cars of power &gt; 2001 cm3 or similar</t>
  </si>
  <si>
    <t>Stock of motor spirit cars</t>
  </si>
  <si>
    <t>Stock of diesel oil cars</t>
  </si>
  <si>
    <t>Stock of LPG cars</t>
  </si>
  <si>
    <t>Stock of NGV cars</t>
  </si>
  <si>
    <t>Stock of electricity cars</t>
  </si>
  <si>
    <t>Stock of hybrid cars</t>
  </si>
  <si>
    <t>Sales of cars</t>
  </si>
  <si>
    <t>Annual sales of new cars</t>
  </si>
  <si>
    <t>% of new cars &lt; 130g CO2</t>
  </si>
  <si>
    <t>% of new cars &lt; 115g CO2</t>
  </si>
  <si>
    <t>% of new cars &lt; 95g CO2</t>
  </si>
  <si>
    <t>Annual sales of new cars of power &lt; 1300 cm3 or similar</t>
  </si>
  <si>
    <t>Annual sales of new cars of power 1300-2001 cm3 or similar</t>
  </si>
  <si>
    <t>Annual sales of new cars of power &gt; 2001 cm3 or similar</t>
  </si>
  <si>
    <t>Annual sales of new motor spirit cars</t>
  </si>
  <si>
    <t>Annual sales of new diesel oil cars</t>
  </si>
  <si>
    <t>Annual sales of new LPG cars</t>
  </si>
  <si>
    <t>Annual sales of new NGV cars</t>
  </si>
  <si>
    <t>Annual sales of new electricity cars</t>
  </si>
  <si>
    <t>Annual sales of new hybrid cars</t>
  </si>
  <si>
    <t>Annual sales of new flex cars</t>
  </si>
  <si>
    <t>Motorcycles</t>
  </si>
  <si>
    <t>Stocks of motorcycles</t>
  </si>
  <si>
    <t>Annual sales of new motorcycles</t>
  </si>
  <si>
    <t>Buses</t>
  </si>
  <si>
    <t>Stock of buses</t>
  </si>
  <si>
    <t>Stock of motor gasoline buses</t>
  </si>
  <si>
    <t>Stock of diesel oil buses</t>
  </si>
  <si>
    <t>Stock of electric buses</t>
  </si>
  <si>
    <t>Stock of NGV buses</t>
  </si>
  <si>
    <t>Stock of hybrid buses</t>
  </si>
  <si>
    <t>Stock of other fuel buses</t>
  </si>
  <si>
    <t>Sales of buses</t>
  </si>
  <si>
    <t>Annual sales of new buses</t>
  </si>
  <si>
    <t>Annual sales of new motor gasoline buses</t>
  </si>
  <si>
    <t>Annual sales of new diesel oil buses</t>
  </si>
  <si>
    <t>Annual sales of new electric buses</t>
  </si>
  <si>
    <t>Annual sales of NGV buses</t>
  </si>
  <si>
    <t>Annual sales of hybrid buses</t>
  </si>
  <si>
    <t>Annual sales of new other fuel buses</t>
  </si>
  <si>
    <t>Light vehicles</t>
  </si>
  <si>
    <t>Stock of light vehicles</t>
  </si>
  <si>
    <t>Stock of light vehicles (&lt; 3 t useful load)</t>
  </si>
  <si>
    <t>Stock of motor gasoline light vehicles</t>
  </si>
  <si>
    <t>Stock of diesel oil light vehicles</t>
  </si>
  <si>
    <t>Stock of electric light vehicles</t>
  </si>
  <si>
    <t>Stock of NGV light vehicles</t>
  </si>
  <si>
    <t>Stock of hybrid light vehicles</t>
  </si>
  <si>
    <t>Stock of other light vehicles</t>
  </si>
  <si>
    <t>Sales of light vehicles</t>
  </si>
  <si>
    <t>Annual sales of new light vehicles (&lt; 3 t useful load)</t>
  </si>
  <si>
    <t>Annual sales of new motor gasoline light vehicles</t>
  </si>
  <si>
    <t>Annual sales of new diesel oil light vehicles</t>
  </si>
  <si>
    <t>Annual sales of new electric light vehicles</t>
  </si>
  <si>
    <t>Annual sales of new GNV light vehicles</t>
  </si>
  <si>
    <t>Annual sales of new hybrid light vehicles</t>
  </si>
  <si>
    <t>Annual sales of new other light vehicles</t>
  </si>
  <si>
    <t>Trucks</t>
  </si>
  <si>
    <t>Stock of trucks</t>
  </si>
  <si>
    <t>Stock of trucks 3-10 t useful load</t>
  </si>
  <si>
    <t>Stock of trucks 10-30 t useful load</t>
  </si>
  <si>
    <t>Stock of trucks &gt; 30 t useful load</t>
  </si>
  <si>
    <t>Stock of motor gasoline trucks</t>
  </si>
  <si>
    <t>Stock of diesel oil trucks</t>
  </si>
  <si>
    <t>Stock of other fuel trucks</t>
  </si>
  <si>
    <t>Sales of trucks</t>
  </si>
  <si>
    <t>Annual sales of new trucks</t>
  </si>
  <si>
    <t>Annual sales of new trucks 3-10 t useful load</t>
  </si>
  <si>
    <t>Annual sales of new trucks 10-30 t useful load</t>
  </si>
  <si>
    <t>Annual sales of new trucks &gt; 30 t useful load</t>
  </si>
  <si>
    <t>Annual sales of new motor gasoline trucks</t>
  </si>
  <si>
    <t>Annual sales of new diesel oil trucks</t>
  </si>
  <si>
    <t>Annual sales of new other fuel trucks</t>
  </si>
  <si>
    <t>Trucks and light vehicles</t>
  </si>
  <si>
    <t>Stock of trucks and light vehicles</t>
  </si>
  <si>
    <t>Stock of trucks and light duty vehicles</t>
  </si>
  <si>
    <t>Stock of motor gasoline trucks and light duty vehicles</t>
  </si>
  <si>
    <t>Stock of diesel oil trucks and light duty vehicles</t>
  </si>
  <si>
    <t>Stock of other fuel trucks and light duty vehicles (electric, NGV, etc.)</t>
  </si>
  <si>
    <t>1.2. Average distance per type of vehicle</t>
  </si>
  <si>
    <t>km/year for cars</t>
  </si>
  <si>
    <t>km</t>
  </si>
  <si>
    <t>Estonian Environment Agency (EEA)</t>
  </si>
  <si>
    <t xml:space="preserve">   km/year for motor gasoline cars</t>
  </si>
  <si>
    <t>2021 aasta andmed on tellitud aga pole veel kätte saadud</t>
  </si>
  <si>
    <t xml:space="preserve">   km/year for diesel oil cars</t>
  </si>
  <si>
    <t>km/year for motorcycles</t>
  </si>
  <si>
    <t>km/year for buses</t>
  </si>
  <si>
    <t>km/year for light vehicles</t>
  </si>
  <si>
    <t>km/year for trucks</t>
  </si>
  <si>
    <t>km/year for trucks &amp; light vehicles</t>
  </si>
  <si>
    <t>1.3. Traffics</t>
  </si>
  <si>
    <t>Passengers traffic</t>
  </si>
  <si>
    <t>Traffics in passenger-km</t>
  </si>
  <si>
    <t>Passengers traffic by cars (pkm)</t>
  </si>
  <si>
    <t>Mpkm</t>
  </si>
  <si>
    <t>Transport in Figures</t>
  </si>
  <si>
    <t>Passengers traffic by motorcycles (pkm)</t>
  </si>
  <si>
    <t>Passengers traffic in buses (pkm)</t>
  </si>
  <si>
    <t>Databse, Table TS541</t>
  </si>
  <si>
    <t>Passengers traffic in rail transport</t>
  </si>
  <si>
    <t>Database TableTS1421</t>
  </si>
  <si>
    <t xml:space="preserve">  Passengers traffic in trains (pkm) </t>
  </si>
  <si>
    <t xml:space="preserve">  Passengers traffic in metros, tram (pkm) </t>
  </si>
  <si>
    <t>Database TableTS34 and calculations (vt tabel Trammide sõitjakäive)</t>
  </si>
  <si>
    <t>Passengers traffic in domestic air (pkm)</t>
  </si>
  <si>
    <t>Database, Table TS19; TS101</t>
  </si>
  <si>
    <t>Passengers traffic in coasts and rivers (pkm)</t>
  </si>
  <si>
    <t>Database,Table TS10 and TS101</t>
  </si>
  <si>
    <t>Passengers traffic by non motorized mode (bicycle, foot) (pkm)</t>
  </si>
  <si>
    <t>Traffics in passengers</t>
  </si>
  <si>
    <t>Passengers traffic in buses (passengers)</t>
  </si>
  <si>
    <t>M</t>
  </si>
  <si>
    <t>Database,Table TS541</t>
  </si>
  <si>
    <t xml:space="preserve">Passengers traffic in trains (passengers) </t>
  </si>
  <si>
    <t>Database,Table TS1421</t>
  </si>
  <si>
    <t>Passengers traffic in domestic air (passengers)</t>
  </si>
  <si>
    <t>Database,Table TS191</t>
  </si>
  <si>
    <t>Passengers traffic in air transport (passengers)</t>
  </si>
  <si>
    <t>Passengers traffic in coast and rivers (passengers)</t>
  </si>
  <si>
    <t>Database,Table TS101</t>
  </si>
  <si>
    <t>Goods traffic</t>
  </si>
  <si>
    <t>Traffics in ton-km</t>
  </si>
  <si>
    <t>Freight traffic on road (tkm)</t>
  </si>
  <si>
    <t>Mtkm</t>
  </si>
  <si>
    <t>Database, Table TS131, TS51</t>
  </si>
  <si>
    <t>Freight traffic in trains (tkm)</t>
  </si>
  <si>
    <t>Database, Table TS1421</t>
  </si>
  <si>
    <t>Freight traffic in rivers (tkm)</t>
  </si>
  <si>
    <t>1.4. Energy consumption by mode of transport</t>
  </si>
  <si>
    <t>Road transport</t>
  </si>
  <si>
    <t>Road transport (incl . foreign  vehicles)</t>
  </si>
  <si>
    <t>Gasoline consumption in road transport</t>
  </si>
  <si>
    <t>Diesel oil consumption in road transport</t>
  </si>
  <si>
    <t>LPG consumption in road transport</t>
  </si>
  <si>
    <t>NGV consumption in road transport</t>
  </si>
  <si>
    <t>Electricity consumption in road transport</t>
  </si>
  <si>
    <t>Biofuel energy consumption of road</t>
  </si>
  <si>
    <t xml:space="preserve">  of which bioethanol</t>
  </si>
  <si>
    <t xml:space="preserve">  of which biodiesel</t>
  </si>
  <si>
    <t>of which biogas</t>
  </si>
  <si>
    <t>Total road consumption</t>
  </si>
  <si>
    <t>Rail transport</t>
  </si>
  <si>
    <t>Diesel oil consumption in rail transport</t>
  </si>
  <si>
    <t>Fuel oil consumption in rail transport</t>
  </si>
  <si>
    <t>Electricity consumption in rail transport</t>
  </si>
  <si>
    <t>Total rail consumption</t>
  </si>
  <si>
    <t>Air transport</t>
  </si>
  <si>
    <t>Aviation gasoline consumption in domestic air transport</t>
  </si>
  <si>
    <t>Jet fuels consumption in domestic air transport</t>
  </si>
  <si>
    <t>Total domestic air transport consumption</t>
  </si>
  <si>
    <t>Domestic water transport</t>
  </si>
  <si>
    <t>Gasoline consumption in river transport</t>
  </si>
  <si>
    <t>Diesel oil consumption in river transport</t>
  </si>
  <si>
    <t>Fuel oil consumption in river transport</t>
  </si>
  <si>
    <t>Diesel oil consumption in domestic sea transport</t>
  </si>
  <si>
    <t>Fuel oil consumption in domestic sea transport</t>
  </si>
  <si>
    <t>Total domestic water consumption</t>
  </si>
  <si>
    <t>1.5. Energy consumption by type of vehicle</t>
  </si>
  <si>
    <t>Gasoline consumption of cars (incl bioethanol)</t>
  </si>
  <si>
    <t>Odyssee database</t>
  </si>
  <si>
    <t>Diesel oil consumption of cars (incl biodiesel)</t>
  </si>
  <si>
    <t>Motor spirit consumption of cars</t>
  </si>
  <si>
    <t>Diesel oil consumption of cars</t>
  </si>
  <si>
    <t>LPG consumption of cars</t>
  </si>
  <si>
    <t>Natural gas consumption of cars</t>
  </si>
  <si>
    <t>Biofuel energy consumption of cars</t>
  </si>
  <si>
    <t xml:space="preserve">  Bioethanol energy consumption of cars</t>
  </si>
  <si>
    <t xml:space="preserve">  Biodiesel energy consumption of cars</t>
  </si>
  <si>
    <t>Electricity consumption of cars</t>
  </si>
  <si>
    <t>Total cars consumption</t>
  </si>
  <si>
    <t>Control 1 (using exc. biofuels + biodiesel)</t>
  </si>
  <si>
    <t>Control 2 (using incl. biofuels)</t>
  </si>
  <si>
    <t>Share of bioethanol in gasoline road consumption</t>
  </si>
  <si>
    <t>Share of biodiesel  in diesel road consumption</t>
  </si>
  <si>
    <t>Gasoline consumption of motorcycles</t>
  </si>
  <si>
    <t>Gasoline consumption of buses</t>
  </si>
  <si>
    <t>Diesel oil consumption of buses</t>
  </si>
  <si>
    <t>LPG consumption of buses</t>
  </si>
  <si>
    <t>NGV consumption of buses</t>
  </si>
  <si>
    <t>Biofuel energy consumption of buses</t>
  </si>
  <si>
    <t>Electricity consumption of buses</t>
  </si>
  <si>
    <t>Total buses consumption</t>
  </si>
  <si>
    <t>Gasoline consumption of light vehicles</t>
  </si>
  <si>
    <t>Diesel oil consumption of light vehicles</t>
  </si>
  <si>
    <t>LPG consumption of light vehicles</t>
  </si>
  <si>
    <t>NGV consumption of light vehicles</t>
  </si>
  <si>
    <t>Biofuel energy consumption of light vehicles</t>
  </si>
  <si>
    <t>Electricity consumption of light vehicles</t>
  </si>
  <si>
    <t>Total  light vehicles consumption</t>
  </si>
  <si>
    <t>Gasoline consumption of trucks</t>
  </si>
  <si>
    <t>Diesel oil consumption of trucks</t>
  </si>
  <si>
    <t>LPG (and GNV) consumption of trucks</t>
  </si>
  <si>
    <t>Biofuel energy consumption of trucks</t>
  </si>
  <si>
    <t>Natural gas consumption of trucks</t>
  </si>
  <si>
    <t>Total consumption of trucks</t>
  </si>
  <si>
    <t>1.6. Specific consumption of all vehicles</t>
  </si>
  <si>
    <t xml:space="preserve">Cars </t>
  </si>
  <si>
    <t>Specific consumption of the stock of cars</t>
  </si>
  <si>
    <t>Average specific consumption of private cars</t>
  </si>
  <si>
    <t>l/100km</t>
  </si>
  <si>
    <t>Gasoline specific consumption of private cars</t>
  </si>
  <si>
    <t>Diesel oil specific consumption of private cars</t>
  </si>
  <si>
    <t>LPG specific consumption of private cars</t>
  </si>
  <si>
    <t>Natural gas specific consumption of private cars</t>
  </si>
  <si>
    <t>Specific consumption of new cars</t>
  </si>
  <si>
    <t>Average normalized specific consumption of new private cars</t>
  </si>
  <si>
    <t>according to EEA data</t>
  </si>
  <si>
    <t>2019 estimated by Enerdata</t>
  </si>
  <si>
    <t>Average normalized specific gasoline consumption of new cars (test)</t>
  </si>
  <si>
    <t>Average normalized specific diesel consumption of new cars (test)</t>
  </si>
  <si>
    <t>Average normalized specific consumption of new small cars</t>
  </si>
  <si>
    <t>Average normalized specific consumption of new medium cars</t>
  </si>
  <si>
    <t>Average normalized specific consumption of new large cars</t>
  </si>
  <si>
    <t>Gasoline specific consumption of motorcycles</t>
  </si>
  <si>
    <t>Average specific consumption of buses</t>
  </si>
  <si>
    <t>Gasoline specific consumption of buses</t>
  </si>
  <si>
    <t>Diesel oil specific consumption of buses</t>
  </si>
  <si>
    <t>LPG specific consumption of buses</t>
  </si>
  <si>
    <t>Natural gas specific consumption of buses</t>
  </si>
  <si>
    <t>Average specific consumption of light vehicles</t>
  </si>
  <si>
    <t>Gasoline specific consumption of light vehicles</t>
  </si>
  <si>
    <t>Diesel oil specific consumption of light vehicles</t>
  </si>
  <si>
    <t>LPG specific consumption of light vehicles</t>
  </si>
  <si>
    <t>Natural gas specific consumption of light vehicles</t>
  </si>
  <si>
    <t>Average specific consumption of trucks</t>
  </si>
  <si>
    <t>Gasoline specific consumption of trucks</t>
  </si>
  <si>
    <t>Diesel oil specific consumption of trucks</t>
  </si>
  <si>
    <t>Gasoline specific consumption of trucks and light duty vehicles</t>
  </si>
  <si>
    <t>Diesel oil specific consumption of trucks and light duty vehicles</t>
  </si>
  <si>
    <t>LPG specific consumption of trucks and light duty vehicles</t>
  </si>
  <si>
    <t>Natural gas specific consumption of trucks and light duty vehicles</t>
  </si>
  <si>
    <t>Final energy consumption (sum of modes compared to total consumption)</t>
  </si>
  <si>
    <t>Final energy consumption (sum of road modes compared to total road)</t>
  </si>
  <si>
    <t>Consistency check</t>
  </si>
  <si>
    <t>Energy consumption by type of transport</t>
  </si>
  <si>
    <t>Road energy consumption</t>
  </si>
  <si>
    <t>Rail energy consumption</t>
  </si>
  <si>
    <t>Water energy consumption</t>
  </si>
  <si>
    <t>Air transport  energy consumption</t>
  </si>
  <si>
    <t>Final energy consumption of transport</t>
  </si>
  <si>
    <t>Control of consistency : sum of modes compared to total energy consumption</t>
  </si>
  <si>
    <t>Energy consumption by type of fuel</t>
  </si>
  <si>
    <t>Gasoline consumption</t>
  </si>
  <si>
    <t>Diesel consumption</t>
  </si>
  <si>
    <t>LPG consumption</t>
  </si>
  <si>
    <t>NGV consumption</t>
  </si>
  <si>
    <t>Biofuel consumption</t>
  </si>
  <si>
    <t>biogaas</t>
  </si>
  <si>
    <t>Energy consumption by type of road vehicle</t>
  </si>
  <si>
    <t>Total road</t>
  </si>
  <si>
    <t xml:space="preserve">  of which domestic</t>
  </si>
  <si>
    <t xml:space="preserve">  of which border trade</t>
  </si>
  <si>
    <t>Consumption of cars</t>
  </si>
  <si>
    <t xml:space="preserve">  of which gasoline</t>
  </si>
  <si>
    <t xml:space="preserve">  of which NGV</t>
  </si>
  <si>
    <t xml:space="preserve">  of which biofuels</t>
  </si>
  <si>
    <t>Consumption of motorcycles</t>
  </si>
  <si>
    <t>Consumption of buses</t>
  </si>
  <si>
    <t>Consumption of trucks &amp; light vehicles</t>
  </si>
  <si>
    <t>Control of consistency : sum of modes compared to total road</t>
  </si>
  <si>
    <t>Energy consumption, l/100 km and kilometres for cars</t>
  </si>
  <si>
    <t>toe/litre for cars</t>
  </si>
  <si>
    <t>toe/l</t>
  </si>
  <si>
    <t>l/100 km</t>
  </si>
  <si>
    <t>Unit consumption per car</t>
  </si>
  <si>
    <t>toe/veh</t>
  </si>
  <si>
    <t>Unit consumption per gasoline cars</t>
  </si>
  <si>
    <t>Unit consumption per diesel cars</t>
  </si>
  <si>
    <t>Specific consumption of cars (l/100km)</t>
  </si>
  <si>
    <t>Unit consumption of road good transport (trucks and light vehicles) (koe/tkm)</t>
  </si>
  <si>
    <t>koe/tkm</t>
  </si>
  <si>
    <t>Unit consumption of rail (koe/tkbr)</t>
  </si>
  <si>
    <t>koe/tkbr</t>
  </si>
  <si>
    <t xml:space="preserve">   of which passenger (koe/pkm)</t>
  </si>
  <si>
    <t>koe/pkm</t>
  </si>
  <si>
    <t xml:space="preserve">   of which goods (koe/tkm)</t>
  </si>
  <si>
    <t>Unit consumption of total air transport (koe/pkm)</t>
  </si>
  <si>
    <t>toe/pass</t>
  </si>
  <si>
    <t>Estonian Road Administration (ERA), Data request</t>
  </si>
  <si>
    <t>Data request</t>
  </si>
  <si>
    <t>Stock of motor gasoline cars</t>
  </si>
  <si>
    <t>Annual sales of new motor gasoline cars</t>
  </si>
  <si>
    <t>Stock of motor gasoline  light vehicles</t>
  </si>
  <si>
    <t>Annual sales of new motor gasoline  trucks</t>
  </si>
  <si>
    <t>Estonian Environment Agency (EEA), Data request</t>
  </si>
  <si>
    <t>Motor gasoline consumption in road transport</t>
  </si>
  <si>
    <t>Motor gasoline consumption in river transport</t>
  </si>
  <si>
    <t>Motor gasoline consumption of cars (incl bioethanol)</t>
  </si>
  <si>
    <t>Motor gasoline consumption of cars</t>
  </si>
  <si>
    <t>Motor gasoline consumption of motorcycles</t>
  </si>
  <si>
    <t>Motor gasoline consumption of buses</t>
  </si>
  <si>
    <t>Motor gasoline consumption of light vehicles</t>
  </si>
  <si>
    <t>Motor gasoline consumption of trucks</t>
  </si>
  <si>
    <t>Motor gasoline specific consumption of private cars</t>
  </si>
  <si>
    <t>Motor gasoline specific consumption of motorcycles</t>
  </si>
  <si>
    <t>Motor gasoline specific consumption of buses</t>
  </si>
  <si>
    <t>Motor gasoline specific consumption of light vehicles</t>
  </si>
  <si>
    <t>Motor gasoline specific consumption of trucks</t>
  </si>
  <si>
    <t>Motor gasoline specific consumption of trucks and light duty vehicles</t>
  </si>
  <si>
    <t>MWh/l</t>
  </si>
  <si>
    <t>MWh/veh</t>
  </si>
  <si>
    <t>kWh/tkm</t>
  </si>
  <si>
    <t>kWh/tkbr</t>
  </si>
  <si>
    <t>kWh/pkm</t>
  </si>
  <si>
    <t>MWh/pass</t>
  </si>
  <si>
    <t>1.1. Dwellings</t>
  </si>
  <si>
    <t>Number of households</t>
  </si>
  <si>
    <t>SE, Database, Table LEM01</t>
  </si>
  <si>
    <t>Total stock of dwellings</t>
  </si>
  <si>
    <t>Stock of all dwellings</t>
  </si>
  <si>
    <t>Database, Table KVE1</t>
  </si>
  <si>
    <t>Stock of permanently occupied dwellings</t>
  </si>
  <si>
    <t>Stock of second residences</t>
  </si>
  <si>
    <t>Stock of single family houses</t>
  </si>
  <si>
    <t>Database, Table LER01; LER161</t>
  </si>
  <si>
    <t>Stock of permanently occupied single family houses</t>
  </si>
  <si>
    <t>Stock of flats</t>
  </si>
  <si>
    <t>Stock of permanently occupied flats</t>
  </si>
  <si>
    <t>Control all dwellings</t>
  </si>
  <si>
    <t>Control permanently occupied dwellings</t>
  </si>
  <si>
    <t>Stock of dwellings by fuel</t>
  </si>
  <si>
    <t>Stock of permanently occupied dwellings (houses &amp; flats)</t>
  </si>
  <si>
    <t>Stock of dwellings with oil space heating</t>
  </si>
  <si>
    <t>Stock of dwellings with gas space heating</t>
  </si>
  <si>
    <t>Stock of dwellings with coal, lignite, peat space heating</t>
  </si>
  <si>
    <t>Stock of dwellings with district heating space heating</t>
  </si>
  <si>
    <t>Database, Table  LER27</t>
  </si>
  <si>
    <t>Stock of dwellings with wood space heating</t>
  </si>
  <si>
    <t>Stock of dwellings with electricity space heating</t>
  </si>
  <si>
    <t>Stock of permanently occupied houses</t>
  </si>
  <si>
    <t>Stock of houses with oil space heating</t>
  </si>
  <si>
    <t>Stock of houses with gas space heating</t>
  </si>
  <si>
    <t>Stock of houses with coal,lignite,peat space heating</t>
  </si>
  <si>
    <t>Stock of houses with district heating space heating</t>
  </si>
  <si>
    <t xml:space="preserve">Calculated </t>
  </si>
  <si>
    <t>Stock of houses with wood space heating</t>
  </si>
  <si>
    <t>Stock of houses with electricity space heating</t>
  </si>
  <si>
    <t>Stock of flats with oil space heating</t>
  </si>
  <si>
    <t>Stock of flats with gas space heating</t>
  </si>
  <si>
    <t>Stock of flats with coal,lignite,peat space heating</t>
  </si>
  <si>
    <t>Stock of flats with district heating space heating</t>
  </si>
  <si>
    <t>Stock of flats with wood space heating</t>
  </si>
  <si>
    <t>Stock of flats with electricity space heating</t>
  </si>
  <si>
    <t>Control oil space heating</t>
  </si>
  <si>
    <t>Control gas space heating</t>
  </si>
  <si>
    <t>Control coal space heating</t>
  </si>
  <si>
    <t>Control district heating space heating</t>
  </si>
  <si>
    <t>Control wood space heating</t>
  </si>
  <si>
    <t>Control electricity space heating</t>
  </si>
  <si>
    <t>Annual construction</t>
  </si>
  <si>
    <t>Annual construction of new dwellings</t>
  </si>
  <si>
    <t>SE, Database, Table EH05</t>
  </si>
  <si>
    <t>Annual construction of new single family houses</t>
  </si>
  <si>
    <t>Annual construction of new flats</t>
  </si>
  <si>
    <t>Central heating (individual/collective/district heating)</t>
  </si>
  <si>
    <t>Stock of permanently occupied dwellings with central collective heating (incl. district heating)</t>
  </si>
  <si>
    <t>SE, Databse, Table LER27</t>
  </si>
  <si>
    <t>Stock of permanently occupied dwellings with central individual heating (incl. district heating)</t>
  </si>
  <si>
    <t>Stock of permanently occupied dwellings with room heating</t>
  </si>
  <si>
    <t>SE, Databse, Table LER28</t>
  </si>
  <si>
    <t>Percent of dwelling with central heating</t>
  </si>
  <si>
    <t>Dwelling size</t>
  </si>
  <si>
    <t>Existing dwellings size</t>
  </si>
  <si>
    <t>Average area of dwellings</t>
  </si>
  <si>
    <t>m2</t>
  </si>
  <si>
    <t>SE, Database, Table KVE1</t>
  </si>
  <si>
    <t>Area of renovated single family houses</t>
  </si>
  <si>
    <t>Area of renovated multi family flats</t>
  </si>
  <si>
    <t>New dwellings size</t>
  </si>
  <si>
    <t>Surface area of new dwellings</t>
  </si>
  <si>
    <t>SE, Database, Table EH06</t>
  </si>
  <si>
    <t>Surface area of new single family houses</t>
  </si>
  <si>
    <t>Surface area of new flats</t>
  </si>
  <si>
    <t>1.2. Households consumption by end-use</t>
  </si>
  <si>
    <t>Space heating consumption</t>
  </si>
  <si>
    <t>Share of space heating</t>
  </si>
  <si>
    <t>% of space heating in households consumption (reference climate)</t>
  </si>
  <si>
    <t>calculated</t>
  </si>
  <si>
    <t>% of electricity for space heating in total electricity</t>
  </si>
  <si>
    <t>Space heating consumption by fuel</t>
  </si>
  <si>
    <t xml:space="preserve">Oil products consumption of household space heating </t>
  </si>
  <si>
    <t xml:space="preserve">Table LER27, calculations, </t>
  </si>
  <si>
    <t xml:space="preserve">  of which LPG </t>
  </si>
  <si>
    <t xml:space="preserve">  of which fuel oil </t>
  </si>
  <si>
    <t xml:space="preserve">Gas consumption of household space heating </t>
  </si>
  <si>
    <t xml:space="preserve">Coal consumption of household space heating </t>
  </si>
  <si>
    <t>Electricity consumption of household space heating</t>
  </si>
  <si>
    <t>District heat consumption of household space heating</t>
  </si>
  <si>
    <t>Renewables and biofuels, except ambient heat</t>
  </si>
  <si>
    <t>Total consumption of household space heating</t>
  </si>
  <si>
    <t>Water heating consumption</t>
  </si>
  <si>
    <t>Oil products consumption of water heating for households</t>
  </si>
  <si>
    <t>Gas consumption of water heating for households</t>
  </si>
  <si>
    <t>Coal consumption of water heating for households</t>
  </si>
  <si>
    <t>District heat consumption of water heating for households</t>
  </si>
  <si>
    <t>Electricity consumption of water heating for households</t>
  </si>
  <si>
    <t>Total consumption of water heating for households</t>
  </si>
  <si>
    <t>Cooking consumption</t>
  </si>
  <si>
    <t>Oil products consumption of cooking for households</t>
  </si>
  <si>
    <t>Gas consumption of cooking for households</t>
  </si>
  <si>
    <t>Coal consumption of cooking for households</t>
  </si>
  <si>
    <t>Electricity consumption of cooking for households</t>
  </si>
  <si>
    <t>Other consumption of cooking for households (wood, wastes)</t>
  </si>
  <si>
    <t>Total consumption of cooking for households</t>
  </si>
  <si>
    <t>Electrical appliances consumption</t>
  </si>
  <si>
    <t>Electricity consumption of lighting for households</t>
  </si>
  <si>
    <t>Electricity consumption of electricity appliances for households and lighting</t>
  </si>
  <si>
    <t>2. Data controls</t>
  </si>
  <si>
    <t>Final energy consumption (sum of end uses compared to total)</t>
  </si>
  <si>
    <t>Final electricity consumption (sum of electrical appliances compared to total electricity)</t>
  </si>
  <si>
    <t>Consumption of space heating</t>
  </si>
  <si>
    <t>Consumption of water heating</t>
  </si>
  <si>
    <t>Consumption of cooking</t>
  </si>
  <si>
    <t>Consumption of specific electricity</t>
  </si>
  <si>
    <t>Consumption of air cooling</t>
  </si>
  <si>
    <t>sum of end uses</t>
  </si>
  <si>
    <t>Control of consistency : sum of end uses compared to total</t>
  </si>
  <si>
    <t>Electricity consumption of households</t>
  </si>
  <si>
    <t>Electricity for space heating</t>
  </si>
  <si>
    <t>Electricity for water heating</t>
  </si>
  <si>
    <t>Electricity for cooking</t>
  </si>
  <si>
    <t>Electricity for air cooling</t>
  </si>
  <si>
    <t>Electrical appliance (incl lighting)</t>
  </si>
  <si>
    <t xml:space="preserve">        of which lighting</t>
  </si>
  <si>
    <t>Control of consistency : sum of electrical appliances compared to total electricity</t>
  </si>
  <si>
    <t>Degree days / degree days of reference</t>
  </si>
  <si>
    <t>Ratio space heating / total</t>
  </si>
  <si>
    <t>Share of space heating (for climatic corrections)</t>
  </si>
  <si>
    <t>Cooling degree days / reference cooling degree days</t>
  </si>
  <si>
    <t>Total consumption with climatic corrections</t>
  </si>
  <si>
    <t>Electricity consumption with climatic corrections</t>
  </si>
  <si>
    <t>Total consumption for space heating with climatic corrections</t>
  </si>
  <si>
    <t>Total consumption for cooling with climatic corrections</t>
  </si>
  <si>
    <t>Unit consumption of households per dwelling  with climatic corrections</t>
  </si>
  <si>
    <t>GWh/dw</t>
  </si>
  <si>
    <t>Unit consumption of electricity of households per dwelling</t>
  </si>
  <si>
    <t>kWh/dw</t>
  </si>
  <si>
    <t>Unit consumption of dwellings for space heating (with climatic corrections)</t>
  </si>
  <si>
    <t>MWh/dw</t>
  </si>
  <si>
    <t>Unit consumption of space heating per m2 (with climatic corrections)</t>
  </si>
  <si>
    <t>kWh/m2</t>
  </si>
  <si>
    <t>Unit consumption of air cooling per equipped dwelling (with climatic corrections)</t>
  </si>
  <si>
    <t>Calculated</t>
  </si>
  <si>
    <t>Average area of single family houses</t>
  </si>
  <si>
    <t>Average area of multi family flats</t>
  </si>
  <si>
    <t>toe/dw</t>
  </si>
  <si>
    <t>koe/dw</t>
  </si>
  <si>
    <t>koe/m2</t>
  </si>
  <si>
    <t>1.1. Energy consumption of the services</t>
  </si>
  <si>
    <t>Oil products consumption of services</t>
  </si>
  <si>
    <t>Gas consumption of services</t>
  </si>
  <si>
    <t>Coal consumption of services</t>
  </si>
  <si>
    <t xml:space="preserve">Heat consumption of tertiary </t>
  </si>
  <si>
    <t>Electricity consumption of services</t>
  </si>
  <si>
    <t>Other consumption of services, except ambient heat (wood, wastes…)</t>
  </si>
  <si>
    <t>Total consumption of services</t>
  </si>
  <si>
    <t>Energy consumption by end uses</t>
  </si>
  <si>
    <t>% of space heating in services consumption (reference climate)</t>
  </si>
  <si>
    <t>% of electricity from space heating in total electricity</t>
  </si>
  <si>
    <t>1.2. Floor area in services buildings</t>
  </si>
  <si>
    <t>Surface area of tertiary buildings</t>
  </si>
  <si>
    <t>Mm2</t>
  </si>
  <si>
    <t xml:space="preserve"> Annual construction of tertiary buildings </t>
  </si>
  <si>
    <t>Annual construction of tertiary buildings (all buildings)</t>
  </si>
  <si>
    <t>Table EH10 and EH067</t>
  </si>
  <si>
    <t>Annual construction of public administration and government services building</t>
  </si>
  <si>
    <t>Annual construction of offices</t>
  </si>
  <si>
    <t>Annual construction of hospitals</t>
  </si>
  <si>
    <t>Annual construction of wholesale and retail trade services building</t>
  </si>
  <si>
    <t>Annual construction of hotels and restaurants</t>
  </si>
  <si>
    <t>Annual construction of education buildings</t>
  </si>
  <si>
    <t>Annual construction of other buildings</t>
  </si>
  <si>
    <t>Employment in services</t>
  </si>
  <si>
    <t>Database, Table TT0200</t>
  </si>
  <si>
    <t>Employment in public and private offices</t>
  </si>
  <si>
    <t xml:space="preserve">  of which in public administration and government services</t>
  </si>
  <si>
    <t xml:space="preserve">  of which in private offices</t>
  </si>
  <si>
    <t>Employment in hospitals</t>
  </si>
  <si>
    <t>Employment in wholesale and retail trade services</t>
  </si>
  <si>
    <t>Employment in hotels and restaurants</t>
  </si>
  <si>
    <t>Employment in education</t>
  </si>
  <si>
    <t>Employment in other branches of tertiary</t>
  </si>
  <si>
    <t>Employment in agriculture and fishing activities</t>
  </si>
  <si>
    <t xml:space="preserve"> Database, Table TT0200</t>
  </si>
  <si>
    <t>1.3. Value added by branch (constant prices)</t>
  </si>
  <si>
    <t>VA at constant market prices of public and private offices</t>
  </si>
  <si>
    <t>Database, RAA0042</t>
  </si>
  <si>
    <t xml:space="preserve">  VA at constant market prices of public offices, administration and government services</t>
  </si>
  <si>
    <t xml:space="preserve">  VA at constant market prices of private offices</t>
  </si>
  <si>
    <t>VA at constant market prices of wholesale and retail trade services</t>
  </si>
  <si>
    <t>VA at constant market prices of education</t>
  </si>
  <si>
    <t>VA at constant market prices of hospitals</t>
  </si>
  <si>
    <t>VA at constant market prices of hotels and restaurants</t>
  </si>
  <si>
    <t>VA at constant market prices of other branches of tertiary</t>
  </si>
  <si>
    <t>VA at constant market prices of services</t>
  </si>
  <si>
    <t>Total services consumption  with climatic corrections</t>
  </si>
  <si>
    <t>control : Ratio consumption with/without climatic corrections</t>
  </si>
  <si>
    <t>Services electricity consumption with climatic corrections</t>
  </si>
  <si>
    <t>Energy intensity of services (climate corrected) (koe/€2010)</t>
  </si>
  <si>
    <t>Electricity intensity of services (kWh/€2010)</t>
  </si>
  <si>
    <t>Energy consumption of services per employee (climate corrected) (toe/emp)</t>
  </si>
  <si>
    <t>toe/emp</t>
  </si>
  <si>
    <t>Electricity consumption of services per employee (kWh/emp)</t>
  </si>
  <si>
    <t>kWh/emp</t>
  </si>
  <si>
    <t>Including information and communication sector</t>
  </si>
  <si>
    <t xml:space="preserve">Gas consumption </t>
  </si>
  <si>
    <t>Database, Table KE062</t>
  </si>
  <si>
    <t>Diesel oil consumption</t>
  </si>
  <si>
    <t>Electricity consumption</t>
  </si>
  <si>
    <t>Heay consumption</t>
  </si>
  <si>
    <t>Total consumption of information and communication sector</t>
  </si>
  <si>
    <t>including public administration and national defense</t>
  </si>
  <si>
    <t>Liquide fuels</t>
  </si>
  <si>
    <t>Biomass consumption</t>
  </si>
  <si>
    <t>Total consumption of public administration and national defence</t>
  </si>
  <si>
    <t>Surface area of renovated heated tertiary buildings</t>
  </si>
  <si>
    <t>Energy prices for final consumers</t>
  </si>
  <si>
    <t>Services</t>
  </si>
  <si>
    <t>AVERAGE COST OF FUELS AND ENERGY CONSUMED BY ENTERPRISES</t>
  </si>
  <si>
    <t>Coal</t>
  </si>
  <si>
    <t>EUR/t</t>
  </si>
  <si>
    <t>.</t>
  </si>
  <si>
    <t>Database, Table KE08</t>
  </si>
  <si>
    <t>Oil shale</t>
  </si>
  <si>
    <t>Sod peat</t>
  </si>
  <si>
    <t>Peat-briquette</t>
  </si>
  <si>
    <t>..</t>
  </si>
  <si>
    <t>Firewood</t>
  </si>
  <si>
    <t>EUR/m³ sol vol</t>
  </si>
  <si>
    <t>Wood chips</t>
  </si>
  <si>
    <t>EUR/m³</t>
  </si>
  <si>
    <t>Wood waste</t>
  </si>
  <si>
    <t>Natural gas</t>
  </si>
  <si>
    <t>EUR/1000 m³</t>
  </si>
  <si>
    <t>Heavy fuel oil</t>
  </si>
  <si>
    <t>Shale oil</t>
  </si>
  <si>
    <t>Light fuel oil</t>
  </si>
  <si>
    <t>Diesel</t>
  </si>
  <si>
    <t>Motor gasoline</t>
  </si>
  <si>
    <t>EUR/MWh</t>
  </si>
  <si>
    <t>Figures in D2 Report</t>
  </si>
  <si>
    <t>Chapter 1 and 2</t>
  </si>
  <si>
    <t>Figure 1</t>
  </si>
  <si>
    <t>GDP at current national currency</t>
  </si>
  <si>
    <t>VA of Industry</t>
  </si>
  <si>
    <t>Privat consumption</t>
  </si>
  <si>
    <t>Figure 2</t>
  </si>
  <si>
    <t>Source: Statistics Estonia, Database, Table RAA0042</t>
  </si>
  <si>
    <t>Agriculture, forestry and fishing</t>
  </si>
  <si>
    <t>Mining industry</t>
  </si>
  <si>
    <t>D</t>
  </si>
  <si>
    <t>Supply of electricity, gas, steam and conditioned air</t>
  </si>
  <si>
    <t>E</t>
  </si>
  <si>
    <t>Water supply; sewage, waste and pollution management</t>
  </si>
  <si>
    <t>F</t>
  </si>
  <si>
    <t>Building</t>
  </si>
  <si>
    <t>G</t>
  </si>
  <si>
    <t>Wholesale and retail trade; repair of motor vehicles and motorcycles</t>
  </si>
  <si>
    <t>H</t>
  </si>
  <si>
    <t>Transportation and storage</t>
  </si>
  <si>
    <t>I</t>
  </si>
  <si>
    <t>Accommodation and catering</t>
  </si>
  <si>
    <t>J</t>
  </si>
  <si>
    <t>Information and communication</t>
  </si>
  <si>
    <t>K</t>
  </si>
  <si>
    <t>Financial and insurance activities</t>
  </si>
  <si>
    <t>L</t>
  </si>
  <si>
    <t>Real estate activity</t>
  </si>
  <si>
    <t>Professional, scientific and technical activities</t>
  </si>
  <si>
    <t>N</t>
  </si>
  <si>
    <t>Administrative and support activities</t>
  </si>
  <si>
    <t>O</t>
  </si>
  <si>
    <t>Public administration and national defense; compulsory social insurance</t>
  </si>
  <si>
    <t>P</t>
  </si>
  <si>
    <t>Q</t>
  </si>
  <si>
    <t>Health and social care</t>
  </si>
  <si>
    <t>R</t>
  </si>
  <si>
    <t>Arts, entertainment and leisure</t>
  </si>
  <si>
    <t>S</t>
  </si>
  <si>
    <t>Other service activities</t>
  </si>
  <si>
    <t>T</t>
  </si>
  <si>
    <t>Households as employers of household staff; production of undifferentiated goods intended for households' own consumption and provision of services</t>
  </si>
  <si>
    <t>TOTAL GDP</t>
  </si>
  <si>
    <t>Mining</t>
  </si>
  <si>
    <t>Manufacturing</t>
  </si>
  <si>
    <t>D+E</t>
  </si>
  <si>
    <t>Real estate</t>
  </si>
  <si>
    <t>Meur</t>
  </si>
  <si>
    <t>GDP (CLV)</t>
  </si>
  <si>
    <t>Primary energy</t>
  </si>
  <si>
    <t>Final energy</t>
  </si>
  <si>
    <t>2014=100</t>
  </si>
  <si>
    <t>Figure 3</t>
  </si>
  <si>
    <t>Oil fuels</t>
  </si>
  <si>
    <t>Natural Gas</t>
  </si>
  <si>
    <t>Electricity from waste</t>
  </si>
  <si>
    <t>Wind, solar  and hydro electricity</t>
  </si>
  <si>
    <t>Figure 4</t>
  </si>
  <si>
    <t>Households</t>
  </si>
  <si>
    <t>Service and Other</t>
  </si>
  <si>
    <t xml:space="preserve">Service </t>
  </si>
  <si>
    <t>Figure 5</t>
  </si>
  <si>
    <t>Electricity- total</t>
  </si>
  <si>
    <t>Heat- total</t>
  </si>
  <si>
    <t>Electricity- households</t>
  </si>
  <si>
    <t>Heat- households</t>
  </si>
  <si>
    <t>Figure 7</t>
  </si>
  <si>
    <t>Electricity- total final consumption</t>
  </si>
  <si>
    <t>Heat- total final consumption</t>
  </si>
  <si>
    <t>Figure 6</t>
  </si>
  <si>
    <t>Share of sectors in final consumption</t>
  </si>
  <si>
    <t>Figure 8</t>
  </si>
  <si>
    <t>Share of public administration and national defence and ITC in the total consumption of the service sector</t>
  </si>
  <si>
    <t>Share in 2021</t>
  </si>
  <si>
    <t>Public administration and defence</t>
  </si>
  <si>
    <t>ITC</t>
  </si>
  <si>
    <t>Other Service</t>
  </si>
  <si>
    <t>Total Service sector</t>
  </si>
  <si>
    <t>Figure 9</t>
  </si>
  <si>
    <t>Figure 9. Number of positively evaluated apartement building reconstruction grant applications per year</t>
  </si>
  <si>
    <t>Number of apartment building reconstruction  grants</t>
  </si>
  <si>
    <t>Source: KREDEX</t>
  </si>
  <si>
    <t>Figure 10</t>
  </si>
  <si>
    <t>AS picture from the report</t>
  </si>
  <si>
    <t>Source [56], page 38</t>
  </si>
  <si>
    <t>2021_the_future_of_mobility_report_web.pdf (arenguseire.ee)</t>
  </si>
  <si>
    <t>Chart, bar chart, histogram
Description automatically generated</t>
  </si>
  <si>
    <t>Figure 10. Kilometres travelled by car</t>
  </si>
  <si>
    <t>Source [56], page 37</t>
  </si>
  <si>
    <t>Figure 11</t>
  </si>
  <si>
    <t>Figure 11. Transportation to work</t>
  </si>
  <si>
    <t>Source [56], page 39</t>
  </si>
  <si>
    <t>Figure 12</t>
  </si>
  <si>
    <t>Figure 12. Train journeys, passengers per month</t>
  </si>
  <si>
    <t>The general assumptions made on the % change per fuel type, starting from 2024  are:
Gasoline and gas: ~+ 0.1%;
Biomass: ~+0.2%
Electricity: ~+0.5%
Heat: ~-0.1%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</si>
</sst>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%"/>
    <numFmt numFmtId="166" formatCode="#,##0.000"/>
    <numFmt numFmtId="167" formatCode="0.0"/>
    <numFmt numFmtId="168" formatCode="#,##0.0000"/>
    <numFmt numFmtId="169" formatCode="0.0000"/>
    <numFmt numFmtId="170" formatCode="0.000"/>
  </numFmts>
  <fonts count="1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20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5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5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CC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i/>
      <sz val="11"/>
      <color rgb="FF00B05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2"/>
      <color indexed="8"/>
      <name val="Calibri Light"/>
      <family val="2"/>
      <scheme val="major"/>
    </font>
    <font>
      <b/>
      <sz val="11"/>
      <color theme="5"/>
      <name val="Calibri Light"/>
      <family val="2"/>
      <scheme val="major"/>
    </font>
    <font>
      <sz val="12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3"/>
      <name val="Calibri"/>
      <family val="2"/>
      <scheme val="minor"/>
    </font>
    <font>
      <sz val="11"/>
      <name val="Verdana"/>
      <family val="2"/>
    </font>
    <font>
      <sz val="11"/>
      <color rgb="FF0000CC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3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rgb="FF0000CC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color rgb="FF000000"/>
      <name val="Verdana"/>
      <family val="2"/>
    </font>
    <font>
      <b/>
      <sz val="11"/>
      <color theme="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 Light"/>
      <family val="2"/>
      <scheme val="major"/>
    </font>
    <font>
      <sz val="12"/>
      <color theme="4"/>
      <name val="Calibri Light"/>
      <family val="2"/>
      <scheme val="major"/>
    </font>
    <font>
      <i/>
      <sz val="12"/>
      <color rgb="FF00B050"/>
      <name val="Calibri Light"/>
      <family val="2"/>
      <scheme val="major"/>
    </font>
    <font>
      <i/>
      <sz val="11"/>
      <color rgb="FFEC6625"/>
      <name val="Verdana"/>
      <family val="2"/>
    </font>
    <font>
      <b/>
      <sz val="30"/>
      <color theme="3"/>
      <name val="Calibri"/>
      <family val="2"/>
      <scheme val="minor"/>
    </font>
    <font>
      <b/>
      <sz val="12.5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B050"/>
      <name val="Calibri Light"/>
      <family val="2"/>
      <scheme val="major"/>
    </font>
    <font>
      <sz val="11"/>
      <color theme="7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1"/>
      <color rgb="FFFF0066"/>
      <name val="Calibri Light"/>
      <family val="2"/>
      <scheme val="major"/>
    </font>
    <font>
      <b/>
      <sz val="11"/>
      <name val="Calibri Light"/>
      <family val="2"/>
      <charset val="186"/>
      <scheme val="major"/>
    </font>
    <font>
      <b/>
      <sz val="11"/>
      <color rgb="FF92D050"/>
      <name val="Calibri"/>
      <family val="2"/>
      <charset val="186"/>
      <scheme val="minor"/>
    </font>
    <font>
      <b/>
      <i/>
      <sz val="11"/>
      <name val="Calibri Light"/>
      <family val="2"/>
      <scheme val="major"/>
    </font>
    <font>
      <i/>
      <sz val="11"/>
      <color rgb="FF00758F"/>
      <name val="Verdana"/>
      <family val="2"/>
    </font>
    <font>
      <sz val="11"/>
      <color theme="1"/>
      <name val="Calibri"/>
      <family val="2"/>
      <charset val="186"/>
    </font>
    <font>
      <b/>
      <sz val="11"/>
      <color rgb="FF00758F"/>
      <name val="Verdana"/>
      <family val="2"/>
    </font>
    <font>
      <i/>
      <sz val="11"/>
      <color rgb="FFFF0000"/>
      <name val="Calibri"/>
      <family val="2"/>
      <scheme val="minor"/>
    </font>
    <font>
      <i/>
      <sz val="11"/>
      <color rgb="FFFF0000"/>
      <name val="Verdana"/>
      <family val="2"/>
    </font>
    <font>
      <i/>
      <sz val="9"/>
      <color rgb="FF00758F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theme="3"/>
      <name val="Calibri Light"/>
      <family val="2"/>
      <scheme val="major"/>
    </font>
    <font>
      <sz val="11"/>
      <color rgb="FF00758F"/>
      <name val="Verdana"/>
      <family val="2"/>
    </font>
    <font>
      <b/>
      <sz val="14"/>
      <color theme="0"/>
      <name val="Calibri Light"/>
      <family val="2"/>
      <scheme val="major"/>
    </font>
    <font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2"/>
      <color rgb="FF0000CC"/>
      <name val="Calibri Light"/>
      <family val="2"/>
      <scheme val="major"/>
    </font>
    <font>
      <b/>
      <sz val="11"/>
      <color rgb="FF0000CC"/>
      <name val="Calibri"/>
      <family val="2"/>
      <scheme val="minor"/>
    </font>
    <font>
      <b/>
      <sz val="11"/>
      <color rgb="FF0000CC"/>
      <name val="Calibri Light"/>
      <family val="2"/>
      <scheme val="major"/>
    </font>
    <font>
      <i/>
      <sz val="11"/>
      <color rgb="FF0000CC"/>
      <name val="Calibri Light"/>
      <family val="2"/>
      <scheme val="major"/>
    </font>
    <font>
      <sz val="12"/>
      <color rgb="FF0000CC"/>
      <name val="Calibri Light"/>
      <family val="2"/>
      <scheme val="major"/>
    </font>
    <font>
      <i/>
      <sz val="12"/>
      <color rgb="FF0000CC"/>
      <name val="Calibri Light"/>
      <family val="2"/>
      <scheme val="major"/>
    </font>
    <font>
      <i/>
      <sz val="11"/>
      <color rgb="FF0000CC"/>
      <name val="Verdana"/>
      <family val="2"/>
    </font>
    <font>
      <b/>
      <sz val="11"/>
      <color rgb="FF0000CC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12"/>
      <color rgb="FFFF0000"/>
      <name val="Calibri Light"/>
      <family val="2"/>
      <scheme val="major"/>
    </font>
    <font>
      <sz val="11"/>
      <name val="Calibri"/>
      <family val="2"/>
    </font>
    <font>
      <b/>
      <sz val="11"/>
      <name val="Calibri"/>
      <family val="2"/>
      <charset val="186"/>
    </font>
    <font>
      <sz val="10"/>
      <color rgb="FF0000CC"/>
      <name val="Verdana"/>
      <family val="2"/>
      <charset val="186"/>
    </font>
    <font>
      <b/>
      <sz val="10"/>
      <color rgb="FF0000CC"/>
      <name val="Verdana"/>
      <family val="2"/>
      <charset val="186"/>
    </font>
    <font>
      <sz val="11"/>
      <name val="Calibri Light"/>
      <family val="2"/>
      <charset val="186"/>
      <scheme val="major"/>
    </font>
    <font>
      <sz val="10"/>
      <name val="Verdana"/>
      <family val="2"/>
      <charset val="186"/>
    </font>
    <font>
      <b/>
      <sz val="14"/>
      <color rgb="FFFFFFFF"/>
      <name val="Verdana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charset val="186"/>
      <scheme val="minor"/>
    </font>
    <font>
      <sz val="11"/>
      <color rgb="FF0000CC"/>
      <name val="Calibri"/>
      <family val="2"/>
      <charset val="186"/>
      <scheme val="minor"/>
    </font>
    <font>
      <b/>
      <sz val="11"/>
      <color theme="5" tint="-0.249977111117893"/>
      <name val="Calibri"/>
      <family val="2"/>
      <charset val="186"/>
      <scheme val="minor"/>
    </font>
    <font>
      <b/>
      <sz val="11"/>
      <color rgb="FF0000CC"/>
      <name val="Calibri"/>
      <family val="2"/>
      <charset val="186"/>
      <scheme val="minor"/>
    </font>
    <font>
      <b/>
      <sz val="11"/>
      <name val="Calibri"/>
      <family val="2"/>
    </font>
    <font>
      <sz val="11"/>
      <color rgb="FF0000CC"/>
      <name val="Calibri"/>
      <family val="2"/>
    </font>
    <font>
      <b/>
      <sz val="12"/>
      <color rgb="FF595959"/>
      <name val="Calibri"/>
      <family val="2"/>
      <charset val="186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 Light"/>
      <family val="2"/>
      <scheme val="major"/>
    </font>
    <font>
      <b/>
      <sz val="12"/>
      <color rgb="FF000000"/>
      <name val="Calibri"/>
      <family val="2"/>
      <charset val="186"/>
      <scheme val="minor"/>
    </font>
    <font>
      <b/>
      <sz val="11"/>
      <color rgb="FF444444"/>
      <name val="Calibri"/>
      <family val="2"/>
      <charset val="1"/>
    </font>
    <font>
      <u/>
      <sz val="11"/>
      <color theme="10"/>
      <name val="Calibri"/>
      <family val="2"/>
      <charset val="186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86"/>
    </font>
    <font>
      <sz val="11"/>
      <color rgb="FF006100"/>
      <name val="Calibri"/>
      <family val="2"/>
    </font>
    <font>
      <sz val="12"/>
      <color rgb="FF000000"/>
      <name val="Calibri Light"/>
      <family val="2"/>
      <scheme val="major"/>
    </font>
    <font>
      <sz val="11"/>
      <color rgb="FF000000"/>
      <name val="Calibri Light"/>
      <family val="2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"/>
    </font>
    <font>
      <sz val="10"/>
      <name val="Verdana"/>
      <family val="2"/>
    </font>
    <font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5F6368"/>
      <name val="Calibri"/>
      <family val="2"/>
      <charset val="186"/>
      <scheme val="minor"/>
    </font>
    <font>
      <b/>
      <sz val="10"/>
      <name val="Arial"/>
      <family val="2"/>
    </font>
    <font>
      <sz val="12"/>
      <color rgb="FF00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7030A0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8F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7EAD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00758F"/>
      </left>
      <right style="thin">
        <color rgb="FF00758F"/>
      </right>
      <top style="thin">
        <color rgb="FF00758F"/>
      </top>
      <bottom style="thin">
        <color rgb="FF00758F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758F"/>
      </right>
      <top style="thin">
        <color rgb="FF00758F"/>
      </top>
      <bottom style="thin">
        <color rgb="FF00758F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758F"/>
      </left>
      <right/>
      <top style="thin">
        <color rgb="FF00758F"/>
      </top>
      <bottom style="thin">
        <color rgb="FF00758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/>
      <diagonal/>
    </border>
    <border>
      <left style="thin">
        <color rgb="FF00758F"/>
      </left>
      <right style="thin">
        <color rgb="FF00758F"/>
      </right>
      <top/>
      <bottom style="thin">
        <color rgb="FF00758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758F"/>
      </right>
      <top/>
      <bottom style="thin">
        <color rgb="FF00758F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4" fillId="0" borderId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</cellStyleXfs>
  <cellXfs count="433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ill="1" applyProtection="1">
      <protection locked="0"/>
    </xf>
    <xf numFmtId="4" fontId="14" fillId="3" borderId="1" xfId="1" applyNumberFormat="1" applyFont="1" applyFill="1" applyBorder="1" applyAlignment="1" applyProtection="1">
      <alignment horizontal="center" vertical="center"/>
      <protection locked="0"/>
    </xf>
    <xf numFmtId="4" fontId="13" fillId="3" borderId="1" xfId="1" applyNumberFormat="1" applyFont="1" applyFill="1" applyBorder="1" applyAlignment="1" applyProtection="1">
      <alignment horizontal="center" vertical="center"/>
      <protection locked="0"/>
    </xf>
    <xf numFmtId="3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9" fontId="15" fillId="3" borderId="0" xfId="1" applyFont="1" applyFill="1" applyAlignment="1" applyProtection="1">
      <alignment horizontal="center" vertical="center"/>
      <protection locked="0"/>
    </xf>
    <xf numFmtId="0" fontId="14" fillId="3" borderId="0" xfId="0" quotePrefix="1" applyFont="1" applyFill="1" applyAlignment="1" applyProtection="1">
      <alignment horizontal="left" vertical="center"/>
      <protection locked="0"/>
    </xf>
    <xf numFmtId="9" fontId="16" fillId="3" borderId="0" xfId="1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0" fillId="3" borderId="0" xfId="0" applyFont="1" applyFill="1" applyProtection="1"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 vertical="center"/>
    </xf>
    <xf numFmtId="3" fontId="21" fillId="3" borderId="1" xfId="1" applyNumberFormat="1" applyFont="1" applyFill="1" applyBorder="1" applyAlignment="1" applyProtection="1">
      <alignment horizontal="center" vertical="center"/>
      <protection locked="0"/>
    </xf>
    <xf numFmtId="9" fontId="0" fillId="5" borderId="0" xfId="0" applyNumberFormat="1" applyFill="1"/>
    <xf numFmtId="3" fontId="21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3" borderId="0" xfId="0" quotePrefix="1" applyFont="1" applyFill="1" applyAlignment="1">
      <alignment horizontal="left" vertical="center"/>
    </xf>
    <xf numFmtId="0" fontId="22" fillId="3" borderId="0" xfId="0" quotePrefix="1" applyFont="1" applyFill="1" applyAlignment="1">
      <alignment horizontal="left" vertical="center"/>
    </xf>
    <xf numFmtId="0" fontId="8" fillId="3" borderId="0" xfId="0" quotePrefix="1" applyFont="1" applyFill="1" applyAlignment="1">
      <alignment horizontal="left" vertical="center"/>
    </xf>
    <xf numFmtId="0" fontId="23" fillId="3" borderId="0" xfId="0" quotePrefix="1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9" fontId="14" fillId="3" borderId="1" xfId="1" applyFont="1" applyFill="1" applyBorder="1" applyAlignment="1" applyProtection="1">
      <alignment horizontal="center" vertical="center"/>
      <protection locked="0"/>
    </xf>
    <xf numFmtId="0" fontId="12" fillId="3" borderId="0" xfId="0" quotePrefix="1" applyFont="1" applyFill="1" applyAlignment="1">
      <alignment horizontal="left" vertical="center"/>
    </xf>
    <xf numFmtId="0" fontId="24" fillId="3" borderId="0" xfId="0" quotePrefix="1" applyFont="1" applyFill="1" applyAlignment="1">
      <alignment horizontal="left" vertical="center"/>
    </xf>
    <xf numFmtId="0" fontId="15" fillId="3" borderId="0" xfId="0" applyFont="1" applyFill="1" applyAlignment="1" applyProtection="1">
      <alignment vertical="center"/>
      <protection locked="0"/>
    </xf>
    <xf numFmtId="0" fontId="25" fillId="3" borderId="0" xfId="0" applyFont="1" applyFill="1" applyAlignment="1">
      <alignment vertical="center"/>
    </xf>
    <xf numFmtId="0" fontId="26" fillId="3" borderId="0" xfId="0" quotePrefix="1" applyFont="1" applyFill="1" applyAlignment="1">
      <alignment horizontal="left" vertical="center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4" fillId="4" borderId="0" xfId="0" applyFont="1" applyFill="1"/>
    <xf numFmtId="0" fontId="27" fillId="3" borderId="0" xfId="0" quotePrefix="1" applyFont="1" applyFill="1" applyAlignment="1">
      <alignment horizontal="left" vertical="center"/>
    </xf>
    <xf numFmtId="0" fontId="3" fillId="3" borderId="0" xfId="0" quotePrefix="1" applyFont="1" applyFill="1" applyAlignment="1">
      <alignment horizontal="left" vertical="center"/>
    </xf>
    <xf numFmtId="0" fontId="3" fillId="3" borderId="0" xfId="0" quotePrefix="1" applyFont="1" applyFill="1"/>
    <xf numFmtId="0" fontId="27" fillId="3" borderId="0" xfId="0" quotePrefix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3" fontId="28" fillId="6" borderId="4" xfId="1" applyNumberFormat="1" applyFont="1" applyFill="1" applyBorder="1" applyAlignment="1" applyProtection="1">
      <alignment horizontal="center"/>
      <protection locked="0"/>
    </xf>
    <xf numFmtId="0" fontId="31" fillId="3" borderId="0" xfId="0" applyFont="1" applyFill="1" applyAlignment="1" applyProtection="1">
      <alignment horizontal="left" vertical="center"/>
      <protection locked="0"/>
    </xf>
    <xf numFmtId="0" fontId="3" fillId="3" borderId="0" xfId="0" quotePrefix="1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 vertical="center"/>
    </xf>
    <xf numFmtId="0" fontId="16" fillId="3" borderId="0" xfId="0" quotePrefix="1" applyFont="1" applyFill="1" applyAlignment="1">
      <alignment horizontal="left" vertical="center"/>
    </xf>
    <xf numFmtId="0" fontId="33" fillId="3" borderId="0" xfId="0" applyFont="1" applyFill="1" applyAlignment="1" applyProtection="1">
      <alignment horizontal="left" vertical="center"/>
      <protection locked="0"/>
    </xf>
    <xf numFmtId="3" fontId="34" fillId="3" borderId="1" xfId="1" applyNumberFormat="1" applyFont="1" applyFill="1" applyBorder="1" applyAlignment="1" applyProtection="1">
      <alignment horizontal="center" vertical="center"/>
      <protection locked="0"/>
    </xf>
    <xf numFmtId="0" fontId="35" fillId="3" borderId="0" xfId="0" quotePrefix="1" applyFont="1" applyFill="1" applyAlignment="1">
      <alignment horizontal="left" vertical="center"/>
    </xf>
    <xf numFmtId="0" fontId="14" fillId="3" borderId="0" xfId="0" quotePrefix="1" applyFont="1" applyFill="1" applyAlignment="1">
      <alignment horizontal="center" vertical="center"/>
    </xf>
    <xf numFmtId="0" fontId="32" fillId="3" borderId="0" xfId="0" quotePrefix="1" applyFont="1" applyFill="1" applyAlignment="1">
      <alignment horizontal="left" vertical="center"/>
    </xf>
    <xf numFmtId="0" fontId="33" fillId="3" borderId="0" xfId="0" quotePrefix="1" applyFont="1" applyFill="1" applyAlignment="1">
      <alignment horizontal="left" vertical="center"/>
    </xf>
    <xf numFmtId="164" fontId="14" fillId="3" borderId="1" xfId="1" applyNumberFormat="1" applyFont="1" applyFill="1" applyBorder="1" applyAlignment="1" applyProtection="1">
      <alignment horizontal="center"/>
      <protection locked="0"/>
    </xf>
    <xf numFmtId="164" fontId="28" fillId="6" borderId="4" xfId="1" applyNumberFormat="1" applyFont="1" applyFill="1" applyBorder="1" applyAlignment="1" applyProtection="1">
      <alignment horizontal="center"/>
      <protection locked="0"/>
    </xf>
    <xf numFmtId="3" fontId="16" fillId="3" borderId="1" xfId="1" applyNumberFormat="1" applyFont="1" applyFill="1" applyBorder="1" applyAlignment="1" applyProtection="1">
      <alignment horizontal="center"/>
      <protection locked="0"/>
    </xf>
    <xf numFmtId="164" fontId="16" fillId="3" borderId="1" xfId="1" applyNumberFormat="1" applyFont="1" applyFill="1" applyBorder="1" applyAlignment="1" applyProtection="1">
      <alignment horizontal="center"/>
      <protection locked="0"/>
    </xf>
    <xf numFmtId="164" fontId="30" fillId="6" borderId="4" xfId="1" applyNumberFormat="1" applyFont="1" applyFill="1" applyBorder="1" applyAlignment="1" applyProtection="1">
      <alignment horizontal="center"/>
      <protection locked="0"/>
    </xf>
    <xf numFmtId="3" fontId="14" fillId="3" borderId="1" xfId="1" applyNumberFormat="1" applyFont="1" applyFill="1" applyBorder="1" applyAlignment="1" applyProtection="1">
      <alignment horizontal="center"/>
      <protection locked="0"/>
    </xf>
    <xf numFmtId="0" fontId="14" fillId="3" borderId="0" xfId="0" quotePrefix="1" applyFont="1" applyFill="1"/>
    <xf numFmtId="0" fontId="25" fillId="3" borderId="0" xfId="0" applyFont="1" applyFill="1" applyAlignment="1">
      <alignment horizontal="center" vertical="center"/>
    </xf>
    <xf numFmtId="3" fontId="21" fillId="3" borderId="1" xfId="1" applyNumberFormat="1" applyFont="1" applyFill="1" applyBorder="1" applyAlignment="1" applyProtection="1">
      <alignment horizontal="center"/>
      <protection locked="0"/>
    </xf>
    <xf numFmtId="3" fontId="31" fillId="3" borderId="1" xfId="1" applyNumberFormat="1" applyFont="1" applyFill="1" applyBorder="1" applyAlignment="1" applyProtection="1">
      <alignment horizontal="center"/>
      <protection locked="0"/>
    </xf>
    <xf numFmtId="3" fontId="40" fillId="3" borderId="1" xfId="1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/>
    <xf numFmtId="0" fontId="41" fillId="3" borderId="0" xfId="0" applyFont="1" applyFill="1" applyAlignment="1">
      <alignment vertical="center"/>
    </xf>
    <xf numFmtId="9" fontId="14" fillId="3" borderId="0" xfId="0" quotePrefix="1" applyNumberFormat="1" applyFont="1" applyFill="1" applyAlignment="1">
      <alignment horizontal="center" vertical="center"/>
    </xf>
    <xf numFmtId="0" fontId="31" fillId="3" borderId="0" xfId="0" quotePrefix="1" applyFont="1" applyFill="1" applyAlignment="1">
      <alignment horizontal="left" vertical="center"/>
    </xf>
    <xf numFmtId="4" fontId="34" fillId="3" borderId="1" xfId="1" applyNumberFormat="1" applyFont="1" applyFill="1" applyBorder="1" applyAlignment="1" applyProtection="1">
      <alignment horizontal="center"/>
      <protection locked="0"/>
    </xf>
    <xf numFmtId="4" fontId="16" fillId="3" borderId="1" xfId="1" applyNumberFormat="1" applyFont="1" applyFill="1" applyBorder="1" applyAlignment="1" applyProtection="1">
      <alignment horizontal="center"/>
      <protection locked="0"/>
    </xf>
    <xf numFmtId="4" fontId="14" fillId="3" borderId="1" xfId="1" applyNumberFormat="1" applyFont="1" applyFill="1" applyBorder="1" applyAlignment="1" applyProtection="1">
      <alignment horizontal="center"/>
      <protection locked="0"/>
    </xf>
    <xf numFmtId="4" fontId="31" fillId="3" borderId="1" xfId="1" applyNumberFormat="1" applyFont="1" applyFill="1" applyBorder="1" applyAlignment="1" applyProtection="1">
      <alignment horizontal="center"/>
      <protection locked="0"/>
    </xf>
    <xf numFmtId="164" fontId="21" fillId="3" borderId="1" xfId="1" applyNumberFormat="1" applyFont="1" applyFill="1" applyBorder="1" applyAlignment="1" applyProtection="1">
      <alignment horizontal="center"/>
      <protection locked="0"/>
    </xf>
    <xf numFmtId="164" fontId="31" fillId="3" borderId="3" xfId="1" applyNumberFormat="1" applyFont="1" applyFill="1" applyBorder="1" applyAlignment="1" applyProtection="1">
      <alignment horizontal="center"/>
      <protection locked="0"/>
    </xf>
    <xf numFmtId="9" fontId="0" fillId="5" borderId="2" xfId="0" applyNumberFormat="1" applyFill="1" applyBorder="1" applyAlignment="1">
      <alignment horizontal="center"/>
    </xf>
    <xf numFmtId="3" fontId="14" fillId="3" borderId="5" xfId="1" applyNumberFormat="1" applyFont="1" applyFill="1" applyBorder="1" applyAlignment="1" applyProtection="1">
      <alignment horizontal="center" vertical="center"/>
      <protection locked="0"/>
    </xf>
    <xf numFmtId="3" fontId="13" fillId="3" borderId="1" xfId="1" applyNumberFormat="1" applyFont="1" applyFill="1" applyBorder="1" applyAlignment="1" applyProtection="1">
      <alignment horizontal="center"/>
      <protection locked="0"/>
    </xf>
    <xf numFmtId="9" fontId="42" fillId="6" borderId="0" xfId="1" applyFont="1" applyFill="1" applyBorder="1" applyAlignment="1" applyProtection="1">
      <alignment horizontal="center" vertical="center"/>
      <protection locked="0"/>
    </xf>
    <xf numFmtId="165" fontId="14" fillId="3" borderId="2" xfId="0" quotePrefix="1" applyNumberFormat="1" applyFont="1" applyFill="1" applyBorder="1" applyAlignment="1">
      <alignment horizontal="center" vertical="center"/>
    </xf>
    <xf numFmtId="9" fontId="14" fillId="3" borderId="2" xfId="0" quotePrefix="1" applyNumberFormat="1" applyFont="1" applyFill="1" applyBorder="1" applyAlignment="1">
      <alignment horizontal="center" vertical="center"/>
    </xf>
    <xf numFmtId="4" fontId="31" fillId="3" borderId="3" xfId="1" applyNumberFormat="1" applyFont="1" applyFill="1" applyBorder="1" applyAlignment="1" applyProtection="1">
      <alignment horizontal="center"/>
      <protection locked="0"/>
    </xf>
    <xf numFmtId="3" fontId="14" fillId="3" borderId="3" xfId="1" applyNumberFormat="1" applyFont="1" applyFill="1" applyBorder="1" applyAlignment="1" applyProtection="1">
      <alignment horizontal="center"/>
      <protection locked="0"/>
    </xf>
    <xf numFmtId="164" fontId="14" fillId="3" borderId="3" xfId="1" applyNumberFormat="1" applyFont="1" applyFill="1" applyBorder="1" applyAlignment="1" applyProtection="1">
      <alignment horizontal="center" vertical="center"/>
      <protection locked="0"/>
    </xf>
    <xf numFmtId="0" fontId="46" fillId="3" borderId="0" xfId="0" applyFont="1" applyFill="1" applyAlignment="1">
      <alignment vertical="center"/>
    </xf>
    <xf numFmtId="0" fontId="45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28" fillId="6" borderId="0" xfId="0" applyFont="1" applyFill="1" applyAlignment="1" applyProtection="1">
      <alignment horizontal="left" vertical="center"/>
      <protection locked="0"/>
    </xf>
    <xf numFmtId="164" fontId="28" fillId="6" borderId="4" xfId="1" applyNumberFormat="1" applyFont="1" applyFill="1" applyBorder="1" applyAlignment="1" applyProtection="1">
      <alignment horizontal="center" vertical="center"/>
      <protection locked="0"/>
    </xf>
    <xf numFmtId="9" fontId="30" fillId="6" borderId="0" xfId="1" quotePrefix="1" applyFont="1" applyFill="1" applyBorder="1" applyAlignment="1">
      <alignment horizontal="left" vertical="center"/>
    </xf>
    <xf numFmtId="9" fontId="48" fillId="6" borderId="0" xfId="1" quotePrefix="1" applyFont="1" applyFill="1" applyBorder="1" applyAlignment="1">
      <alignment horizontal="center" vertical="center"/>
    </xf>
    <xf numFmtId="164" fontId="29" fillId="6" borderId="4" xfId="1" applyNumberFormat="1" applyFont="1" applyFill="1" applyBorder="1" applyAlignment="1" applyProtection="1">
      <alignment horizontal="center" vertical="center"/>
      <protection locked="0"/>
    </xf>
    <xf numFmtId="0" fontId="30" fillId="6" borderId="0" xfId="0" quotePrefix="1" applyFont="1" applyFill="1" applyAlignment="1">
      <alignment horizontal="left" vertical="center"/>
    </xf>
    <xf numFmtId="164" fontId="31" fillId="3" borderId="1" xfId="1" applyNumberFormat="1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Alignment="1">
      <alignment horizontal="center" vertical="center"/>
    </xf>
    <xf numFmtId="164" fontId="41" fillId="3" borderId="0" xfId="0" applyNumberFormat="1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49" fillId="3" borderId="0" xfId="2" applyFont="1" applyFill="1" applyAlignment="1">
      <alignment vertical="center"/>
    </xf>
    <xf numFmtId="0" fontId="11" fillId="3" borderId="2" xfId="2" applyFont="1" applyFill="1" applyBorder="1" applyAlignment="1">
      <alignment vertical="center"/>
    </xf>
    <xf numFmtId="0" fontId="51" fillId="3" borderId="2" xfId="3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0" fontId="52" fillId="8" borderId="9" xfId="2" applyFont="1" applyFill="1" applyBorder="1"/>
    <xf numFmtId="0" fontId="52" fillId="8" borderId="0" xfId="2" applyFont="1" applyFill="1"/>
    <xf numFmtId="0" fontId="52" fillId="8" borderId="10" xfId="2" applyFont="1" applyFill="1" applyBorder="1"/>
    <xf numFmtId="20" fontId="53" fillId="8" borderId="9" xfId="2" quotePrefix="1" applyNumberFormat="1" applyFont="1" applyFill="1" applyBorder="1" applyAlignment="1">
      <alignment horizontal="right"/>
    </xf>
    <xf numFmtId="0" fontId="53" fillId="8" borderId="0" xfId="2" applyFont="1" applyFill="1"/>
    <xf numFmtId="0" fontId="54" fillId="8" borderId="9" xfId="2" quotePrefix="1" applyFont="1" applyFill="1" applyBorder="1" applyAlignment="1">
      <alignment horizontal="right"/>
    </xf>
    <xf numFmtId="0" fontId="54" fillId="8" borderId="0" xfId="2" applyFont="1" applyFill="1"/>
    <xf numFmtId="0" fontId="55" fillId="8" borderId="9" xfId="2" quotePrefix="1" applyFont="1" applyFill="1" applyBorder="1" applyAlignment="1">
      <alignment horizontal="right"/>
    </xf>
    <xf numFmtId="0" fontId="55" fillId="8" borderId="0" xfId="2" applyFont="1" applyFill="1"/>
    <xf numFmtId="0" fontId="58" fillId="3" borderId="2" xfId="2" applyFont="1" applyFill="1" applyBorder="1" applyAlignment="1">
      <alignment vertical="center"/>
    </xf>
    <xf numFmtId="0" fontId="11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vertical="center"/>
    </xf>
    <xf numFmtId="0" fontId="26" fillId="3" borderId="2" xfId="2" applyFont="1" applyFill="1" applyBorder="1" applyAlignment="1">
      <alignment vertical="center"/>
    </xf>
    <xf numFmtId="0" fontId="12" fillId="3" borderId="2" xfId="2" applyFont="1" applyFill="1" applyBorder="1" applyAlignment="1">
      <alignment vertical="center"/>
    </xf>
    <xf numFmtId="0" fontId="26" fillId="3" borderId="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59" fillId="3" borderId="2" xfId="2" applyFont="1" applyFill="1" applyBorder="1" applyAlignment="1">
      <alignment vertical="center"/>
    </xf>
    <xf numFmtId="0" fontId="60" fillId="3" borderId="0" xfId="0" quotePrefix="1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43" fillId="3" borderId="0" xfId="0" quotePrefix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61" fillId="7" borderId="0" xfId="0" quotePrefix="1" applyFont="1" applyFill="1" applyAlignment="1">
      <alignment horizontal="left" vertical="center"/>
    </xf>
    <xf numFmtId="4" fontId="28" fillId="6" borderId="4" xfId="1" applyNumberFormat="1" applyFont="1" applyFill="1" applyBorder="1" applyAlignment="1" applyProtection="1">
      <alignment horizontal="center" vertical="center"/>
      <protection locked="0"/>
    </xf>
    <xf numFmtId="0" fontId="62" fillId="6" borderId="0" xfId="0" quotePrefix="1" applyFont="1" applyFill="1" applyAlignment="1">
      <alignment horizontal="center" vertical="center"/>
    </xf>
    <xf numFmtId="4" fontId="31" fillId="3" borderId="1" xfId="1" applyNumberFormat="1" applyFont="1" applyFill="1" applyBorder="1" applyAlignment="1" applyProtection="1">
      <alignment horizontal="center" vertical="center"/>
      <protection locked="0"/>
    </xf>
    <xf numFmtId="4" fontId="29" fillId="6" borderId="4" xfId="1" applyNumberFormat="1" applyFont="1" applyFill="1" applyBorder="1" applyAlignment="1" applyProtection="1">
      <alignment horizontal="center" vertical="center"/>
      <protection locked="0"/>
    </xf>
    <xf numFmtId="0" fontId="63" fillId="0" borderId="2" xfId="0" applyFont="1" applyBorder="1"/>
    <xf numFmtId="0" fontId="2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64" fillId="6" borderId="0" xfId="0" applyFont="1" applyFill="1" applyAlignment="1">
      <alignment horizontal="center" vertical="center"/>
    </xf>
    <xf numFmtId="3" fontId="29" fillId="6" borderId="4" xfId="1" applyNumberFormat="1" applyFont="1" applyFill="1" applyBorder="1" applyAlignment="1" applyProtection="1">
      <alignment horizontal="center" vertical="center"/>
      <protection locked="0"/>
    </xf>
    <xf numFmtId="3" fontId="65" fillId="3" borderId="1" xfId="1" applyNumberFormat="1" applyFont="1" applyFill="1" applyBorder="1" applyAlignment="1" applyProtection="1">
      <alignment horizontal="center" vertical="center"/>
      <protection locked="0"/>
    </xf>
    <xf numFmtId="3" fontId="16" fillId="3" borderId="1" xfId="1" applyNumberFormat="1" applyFont="1" applyFill="1" applyBorder="1" applyAlignment="1" applyProtection="1">
      <alignment horizontal="center" vertical="center"/>
      <protection locked="0"/>
    </xf>
    <xf numFmtId="3" fontId="9" fillId="3" borderId="0" xfId="0" applyNumberFormat="1" applyFont="1" applyFill="1" applyAlignment="1">
      <alignment vertical="center"/>
    </xf>
    <xf numFmtId="0" fontId="0" fillId="0" borderId="2" xfId="0" applyBorder="1"/>
    <xf numFmtId="0" fontId="66" fillId="6" borderId="0" xfId="0" quotePrefix="1" applyFont="1" applyFill="1" applyAlignment="1">
      <alignment horizontal="left" vertical="center"/>
    </xf>
    <xf numFmtId="164" fontId="14" fillId="3" borderId="2" xfId="1" applyNumberFormat="1" applyFont="1" applyFill="1" applyBorder="1" applyAlignment="1" applyProtection="1">
      <alignment horizontal="center" vertical="center"/>
      <protection locked="0"/>
    </xf>
    <xf numFmtId="4" fontId="28" fillId="6" borderId="14" xfId="1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Alignment="1">
      <alignment vertical="center"/>
    </xf>
    <xf numFmtId="0" fontId="21" fillId="3" borderId="0" xfId="0" quotePrefix="1" applyFont="1" applyFill="1" applyAlignment="1">
      <alignment horizontal="left" vertical="center"/>
    </xf>
    <xf numFmtId="4" fontId="14" fillId="3" borderId="3" xfId="1" applyNumberFormat="1" applyFont="1" applyFill="1" applyBorder="1" applyAlignment="1" applyProtection="1">
      <alignment horizontal="center" vertical="center"/>
      <protection locked="0"/>
    </xf>
    <xf numFmtId="166" fontId="14" fillId="3" borderId="2" xfId="1" applyNumberFormat="1" applyFont="1" applyFill="1" applyBorder="1" applyAlignment="1" applyProtection="1">
      <alignment horizontal="center" vertical="center"/>
      <protection locked="0"/>
    </xf>
    <xf numFmtId="9" fontId="21" fillId="5" borderId="2" xfId="1" applyFont="1" applyFill="1" applyBorder="1" applyAlignment="1" applyProtection="1">
      <alignment horizontal="center" vertical="center"/>
      <protection locked="0"/>
    </xf>
    <xf numFmtId="9" fontId="14" fillId="5" borderId="3" xfId="1" applyFont="1" applyFill="1" applyBorder="1" applyAlignment="1" applyProtection="1">
      <alignment horizontal="center" vertical="center"/>
      <protection locked="0"/>
    </xf>
    <xf numFmtId="0" fontId="67" fillId="6" borderId="0" xfId="0" quotePrefix="1" applyFont="1" applyFill="1" applyAlignment="1">
      <alignment horizontal="center" vertical="center"/>
    </xf>
    <xf numFmtId="3" fontId="68" fillId="6" borderId="4" xfId="1" applyNumberFormat="1" applyFont="1" applyFill="1" applyBorder="1" applyAlignment="1" applyProtection="1">
      <alignment horizontal="right"/>
      <protection locked="0"/>
    </xf>
    <xf numFmtId="0" fontId="24" fillId="3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left" vertical="center"/>
    </xf>
    <xf numFmtId="9" fontId="14" fillId="5" borderId="1" xfId="1" applyFont="1" applyFill="1" applyBorder="1" applyAlignment="1" applyProtection="1">
      <alignment horizontal="center" vertical="center"/>
      <protection locked="0"/>
    </xf>
    <xf numFmtId="0" fontId="59" fillId="3" borderId="0" xfId="0" applyFont="1" applyFill="1" applyAlignment="1">
      <alignment vertical="center"/>
    </xf>
    <xf numFmtId="0" fontId="69" fillId="6" borderId="0" xfId="0" applyFont="1" applyFill="1" applyAlignment="1">
      <alignment horizontal="left" vertical="center"/>
    </xf>
    <xf numFmtId="4" fontId="28" fillId="6" borderId="4" xfId="1" applyNumberFormat="1" applyFont="1" applyFill="1" applyBorder="1" applyAlignment="1" applyProtection="1">
      <alignment horizontal="right"/>
      <protection locked="0"/>
    </xf>
    <xf numFmtId="4" fontId="28" fillId="6" borderId="0" xfId="1" applyNumberFormat="1" applyFont="1" applyFill="1" applyBorder="1" applyAlignment="1" applyProtection="1">
      <alignment horizontal="right"/>
      <protection locked="0"/>
    </xf>
    <xf numFmtId="3" fontId="68" fillId="6" borderId="0" xfId="1" applyNumberFormat="1" applyFont="1" applyFill="1" applyBorder="1" applyAlignment="1" applyProtection="1">
      <alignment horizontal="right"/>
      <protection locked="0"/>
    </xf>
    <xf numFmtId="4" fontId="28" fillId="6" borderId="16" xfId="1" applyNumberFormat="1" applyFont="1" applyFill="1" applyBorder="1" applyAlignment="1" applyProtection="1">
      <alignment horizontal="right"/>
      <protection locked="0"/>
    </xf>
    <xf numFmtId="3" fontId="14" fillId="3" borderId="17" xfId="1" applyNumberFormat="1" applyFont="1" applyFill="1" applyBorder="1" applyAlignment="1" applyProtection="1">
      <alignment horizontal="center" vertical="center"/>
      <protection locked="0"/>
    </xf>
    <xf numFmtId="4" fontId="28" fillId="6" borderId="2" xfId="1" applyNumberFormat="1" applyFont="1" applyFill="1" applyBorder="1" applyAlignment="1" applyProtection="1">
      <alignment horizontal="right"/>
      <protection locked="0"/>
    </xf>
    <xf numFmtId="3" fontId="68" fillId="6" borderId="2" xfId="1" applyNumberFormat="1" applyFont="1" applyFill="1" applyBorder="1" applyAlignment="1" applyProtection="1">
      <alignment horizontal="right"/>
      <protection locked="0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0" fillId="3" borderId="0" xfId="0" applyFont="1" applyFill="1" applyAlignment="1">
      <alignment horizontal="center" vertical="center"/>
    </xf>
    <xf numFmtId="164" fontId="28" fillId="6" borderId="4" xfId="1" applyNumberFormat="1" applyFont="1" applyFill="1" applyBorder="1" applyAlignment="1" applyProtection="1">
      <alignment horizontal="right"/>
      <protection locked="0"/>
    </xf>
    <xf numFmtId="164" fontId="71" fillId="6" borderId="0" xfId="0" applyNumberFormat="1" applyFont="1" applyFill="1" applyAlignment="1">
      <alignment vertical="center"/>
    </xf>
    <xf numFmtId="0" fontId="73" fillId="3" borderId="0" xfId="0" applyFont="1" applyFill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vertical="center"/>
    </xf>
    <xf numFmtId="0" fontId="72" fillId="9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52" fillId="3" borderId="0" xfId="0" applyFont="1" applyFill="1" applyAlignment="1">
      <alignment horizontal="left" vertical="center"/>
    </xf>
    <xf numFmtId="4" fontId="14" fillId="3" borderId="5" xfId="1" applyNumberFormat="1" applyFont="1" applyFill="1" applyBorder="1" applyAlignment="1" applyProtection="1">
      <alignment horizontal="center" vertical="center"/>
      <protection locked="0"/>
    </xf>
    <xf numFmtId="4" fontId="14" fillId="3" borderId="15" xfId="1" applyNumberFormat="1" applyFont="1" applyFill="1" applyBorder="1" applyAlignment="1" applyProtection="1">
      <alignment horizontal="center" vertical="center"/>
      <protection locked="0"/>
    </xf>
    <xf numFmtId="3" fontId="31" fillId="3" borderId="1" xfId="1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vertical="center"/>
    </xf>
    <xf numFmtId="0" fontId="75" fillId="3" borderId="0" xfId="0" applyFont="1" applyFill="1" applyAlignment="1">
      <alignment vertical="center"/>
    </xf>
    <xf numFmtId="0" fontId="41" fillId="10" borderId="0" xfId="0" applyFont="1" applyFill="1" applyAlignment="1">
      <alignment vertical="center"/>
    </xf>
    <xf numFmtId="3" fontId="14" fillId="3" borderId="3" xfId="1" applyNumberFormat="1" applyFont="1" applyFill="1" applyBorder="1" applyAlignment="1" applyProtection="1">
      <alignment horizontal="center" vertical="center"/>
      <protection locked="0"/>
    </xf>
    <xf numFmtId="3" fontId="14" fillId="3" borderId="2" xfId="1" applyNumberFormat="1" applyFont="1" applyFill="1" applyBorder="1" applyAlignment="1" applyProtection="1">
      <alignment horizontal="center" vertical="center"/>
      <protection locked="0"/>
    </xf>
    <xf numFmtId="0" fontId="13" fillId="3" borderId="0" xfId="0" quotePrefix="1" applyFont="1" applyFill="1" applyAlignment="1">
      <alignment horizontal="center" vertical="center"/>
    </xf>
    <xf numFmtId="0" fontId="40" fillId="3" borderId="0" xfId="0" quotePrefix="1" applyFont="1" applyFill="1" applyAlignment="1">
      <alignment horizontal="center" vertical="center"/>
    </xf>
    <xf numFmtId="0" fontId="76" fillId="3" borderId="0" xfId="0" quotePrefix="1" applyFont="1" applyFill="1" applyAlignment="1">
      <alignment horizontal="center" vertical="center"/>
    </xf>
    <xf numFmtId="0" fontId="40" fillId="3" borderId="0" xfId="0" quotePrefix="1" applyFont="1" applyFill="1" applyAlignment="1">
      <alignment horizontal="left" vertical="center"/>
    </xf>
    <xf numFmtId="0" fontId="77" fillId="3" borderId="0" xfId="0" applyFont="1" applyFill="1" applyAlignment="1">
      <alignment horizontal="center" vertical="center"/>
    </xf>
    <xf numFmtId="0" fontId="78" fillId="3" borderId="0" xfId="0" applyFont="1" applyFill="1" applyAlignment="1">
      <alignment horizontal="center" vertical="center"/>
    </xf>
    <xf numFmtId="0" fontId="75" fillId="3" borderId="0" xfId="0" applyFont="1" applyFill="1" applyAlignment="1">
      <alignment horizontal="center" vertical="center"/>
    </xf>
    <xf numFmtId="0" fontId="79" fillId="3" borderId="0" xfId="0" applyFont="1" applyFill="1" applyAlignment="1">
      <alignment horizontal="center" vertical="center"/>
    </xf>
    <xf numFmtId="0" fontId="79" fillId="3" borderId="0" xfId="0" applyFont="1" applyFill="1" applyAlignment="1">
      <alignment vertical="center"/>
    </xf>
    <xf numFmtId="0" fontId="80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9" fontId="17" fillId="3" borderId="0" xfId="0" applyNumberFormat="1" applyFont="1" applyFill="1" applyAlignment="1">
      <alignment horizontal="center" vertical="center"/>
    </xf>
    <xf numFmtId="0" fontId="81" fillId="6" borderId="0" xfId="0" quotePrefix="1" applyFont="1" applyFill="1" applyAlignment="1">
      <alignment horizontal="center" vertical="center"/>
    </xf>
    <xf numFmtId="0" fontId="82" fillId="3" borderId="0" xfId="0" applyFont="1" applyFill="1" applyAlignment="1">
      <alignment horizontal="center" vertical="center"/>
    </xf>
    <xf numFmtId="164" fontId="14" fillId="3" borderId="18" xfId="1" applyNumberFormat="1" applyFont="1" applyFill="1" applyBorder="1" applyAlignment="1" applyProtection="1">
      <alignment horizontal="center" vertical="center"/>
      <protection locked="0"/>
    </xf>
    <xf numFmtId="4" fontId="14" fillId="3" borderId="2" xfId="1" applyNumberFormat="1" applyFont="1" applyFill="1" applyBorder="1" applyAlignment="1" applyProtection="1">
      <alignment horizontal="center" vertical="center"/>
      <protection locked="0"/>
    </xf>
    <xf numFmtId="4" fontId="31" fillId="3" borderId="2" xfId="1" applyNumberFormat="1" applyFont="1" applyFill="1" applyBorder="1" applyAlignment="1" applyProtection="1">
      <alignment horizontal="center" vertical="center"/>
      <protection locked="0"/>
    </xf>
    <xf numFmtId="9" fontId="12" fillId="5" borderId="2" xfId="0" applyNumberFormat="1" applyFont="1" applyFill="1" applyBorder="1" applyAlignment="1">
      <alignment horizontal="center" vertical="center"/>
    </xf>
    <xf numFmtId="3" fontId="31" fillId="3" borderId="3" xfId="1" applyNumberFormat="1" applyFont="1" applyFill="1" applyBorder="1" applyAlignment="1" applyProtection="1">
      <alignment horizontal="center" vertical="center"/>
      <protection locked="0"/>
    </xf>
    <xf numFmtId="3" fontId="21" fillId="3" borderId="3" xfId="1" applyNumberFormat="1" applyFont="1" applyFill="1" applyBorder="1" applyAlignment="1" applyProtection="1">
      <alignment horizontal="center"/>
      <protection locked="0"/>
    </xf>
    <xf numFmtId="3" fontId="31" fillId="3" borderId="3" xfId="1" applyNumberFormat="1" applyFont="1" applyFill="1" applyBorder="1" applyAlignment="1" applyProtection="1">
      <alignment horizontal="center"/>
      <protection locked="0"/>
    </xf>
    <xf numFmtId="9" fontId="14" fillId="5" borderId="2" xfId="1" applyFont="1" applyFill="1" applyBorder="1" applyAlignment="1" applyProtection="1">
      <alignment horizontal="center" vertical="center"/>
      <protection locked="0"/>
    </xf>
    <xf numFmtId="0" fontId="8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84" fillId="3" borderId="0" xfId="0" applyFont="1" applyFill="1" applyAlignment="1">
      <alignment vertical="center"/>
    </xf>
    <xf numFmtId="3" fontId="85" fillId="6" borderId="19" xfId="1" applyNumberFormat="1" applyFont="1" applyFill="1" applyBorder="1" applyAlignment="1" applyProtection="1">
      <alignment horizontal="center" vertical="center"/>
      <protection locked="0"/>
    </xf>
    <xf numFmtId="3" fontId="86" fillId="6" borderId="20" xfId="1" applyNumberFormat="1" applyFont="1" applyFill="1" applyBorder="1" applyAlignment="1" applyProtection="1">
      <alignment horizontal="center" vertical="center"/>
      <protection locked="0"/>
    </xf>
    <xf numFmtId="3" fontId="86" fillId="6" borderId="19" xfId="1" applyNumberFormat="1" applyFont="1" applyFill="1" applyBorder="1" applyAlignment="1" applyProtection="1">
      <alignment horizontal="center" vertical="center"/>
      <protection locked="0"/>
    </xf>
    <xf numFmtId="9" fontId="14" fillId="3" borderId="1" xfId="1" applyFont="1" applyFill="1" applyBorder="1" applyAlignment="1" applyProtection="1">
      <alignment horizontal="center" vertical="center"/>
    </xf>
    <xf numFmtId="3" fontId="14" fillId="3" borderId="1" xfId="1" applyNumberFormat="1" applyFont="1" applyFill="1" applyBorder="1" applyAlignment="1" applyProtection="1">
      <alignment horizontal="center" vertical="center"/>
    </xf>
    <xf numFmtId="166" fontId="14" fillId="3" borderId="1" xfId="1" applyNumberFormat="1" applyFont="1" applyFill="1" applyBorder="1" applyAlignment="1" applyProtection="1">
      <alignment horizontal="center" vertical="center"/>
    </xf>
    <xf numFmtId="3" fontId="87" fillId="6" borderId="21" xfId="1" applyNumberFormat="1" applyFont="1" applyFill="1" applyBorder="1" applyAlignment="1" applyProtection="1">
      <alignment horizontal="right"/>
      <protection locked="0"/>
    </xf>
    <xf numFmtId="3" fontId="88" fillId="6" borderId="21" xfId="1" applyNumberFormat="1" applyFont="1" applyFill="1" applyBorder="1" applyAlignment="1" applyProtection="1">
      <alignment horizontal="right"/>
      <protection locked="0"/>
    </xf>
    <xf numFmtId="3" fontId="87" fillId="6" borderId="4" xfId="1" applyNumberFormat="1" applyFont="1" applyFill="1" applyBorder="1" applyAlignment="1" applyProtection="1">
      <alignment horizontal="right"/>
      <protection locked="0"/>
    </xf>
    <xf numFmtId="3" fontId="88" fillId="6" borderId="4" xfId="1" applyNumberFormat="1" applyFont="1" applyFill="1" applyBorder="1" applyAlignment="1" applyProtection="1">
      <alignment horizontal="right"/>
      <protection locked="0"/>
    </xf>
    <xf numFmtId="4" fontId="87" fillId="6" borderId="4" xfId="1" applyNumberFormat="1" applyFont="1" applyFill="1" applyBorder="1" applyAlignment="1" applyProtection="1">
      <alignment horizontal="right"/>
      <protection locked="0"/>
    </xf>
    <xf numFmtId="9" fontId="14" fillId="5" borderId="0" xfId="1" applyFont="1" applyFill="1" applyBorder="1" applyAlignment="1" applyProtection="1">
      <alignment horizontal="center" vertical="center"/>
      <protection locked="0"/>
    </xf>
    <xf numFmtId="0" fontId="89" fillId="3" borderId="0" xfId="0" applyFont="1" applyFill="1" applyAlignment="1">
      <alignment vertical="center"/>
    </xf>
    <xf numFmtId="165" fontId="90" fillId="11" borderId="4" xfId="1" applyNumberFormat="1" applyFont="1" applyFill="1" applyBorder="1" applyAlignment="1" applyProtection="1">
      <alignment horizontal="right"/>
      <protection locked="0"/>
    </xf>
    <xf numFmtId="168" fontId="85" fillId="6" borderId="19" xfId="1" applyNumberFormat="1" applyFont="1" applyFill="1" applyBorder="1" applyAlignment="1" applyProtection="1">
      <alignment horizontal="center" vertical="center"/>
      <protection locked="0"/>
    </xf>
    <xf numFmtId="3" fontId="90" fillId="6" borderId="4" xfId="1" applyNumberFormat="1" applyFont="1" applyFill="1" applyBorder="1" applyAlignment="1" applyProtection="1">
      <alignment horizontal="right"/>
      <protection locked="0"/>
    </xf>
    <xf numFmtId="2" fontId="17" fillId="3" borderId="2" xfId="0" applyNumberFormat="1" applyFont="1" applyFill="1" applyBorder="1" applyAlignment="1">
      <alignment horizontal="center" vertical="center"/>
    </xf>
    <xf numFmtId="9" fontId="17" fillId="3" borderId="2" xfId="0" applyNumberFormat="1" applyFont="1" applyFill="1" applyBorder="1" applyAlignment="1">
      <alignment horizontal="center" vertical="center"/>
    </xf>
    <xf numFmtId="167" fontId="17" fillId="3" borderId="2" xfId="0" applyNumberFormat="1" applyFont="1" applyFill="1" applyBorder="1" applyAlignment="1">
      <alignment horizontal="center" vertical="center"/>
    </xf>
    <xf numFmtId="0" fontId="91" fillId="12" borderId="0" xfId="0" applyFont="1" applyFill="1" applyAlignment="1">
      <alignment vertical="center"/>
    </xf>
    <xf numFmtId="0" fontId="17" fillId="3" borderId="2" xfId="0" applyFont="1" applyFill="1" applyBorder="1" applyAlignment="1">
      <alignment vertical="center"/>
    </xf>
    <xf numFmtId="1" fontId="17" fillId="3" borderId="2" xfId="0" applyNumberFormat="1" applyFont="1" applyFill="1" applyBorder="1" applyAlignment="1">
      <alignment horizontal="center" vertical="center"/>
    </xf>
    <xf numFmtId="164" fontId="46" fillId="3" borderId="0" xfId="0" applyNumberFormat="1" applyFont="1" applyFill="1" applyAlignment="1">
      <alignment vertical="center"/>
    </xf>
    <xf numFmtId="0" fontId="55" fillId="3" borderId="0" xfId="0" applyFont="1" applyFill="1" applyAlignment="1">
      <alignment vertical="center"/>
    </xf>
    <xf numFmtId="4" fontId="27" fillId="3" borderId="0" xfId="0" quotePrefix="1" applyNumberFormat="1" applyFont="1" applyFill="1" applyAlignment="1">
      <alignment horizontal="left" vertical="center"/>
    </xf>
    <xf numFmtId="166" fontId="14" fillId="3" borderId="1" xfId="1" applyNumberFormat="1" applyFont="1" applyFill="1" applyBorder="1" applyAlignment="1" applyProtection="1">
      <alignment horizontal="center"/>
      <protection locked="0"/>
    </xf>
    <xf numFmtId="166" fontId="21" fillId="3" borderId="1" xfId="1" applyNumberFormat="1" applyFont="1" applyFill="1" applyBorder="1" applyAlignment="1" applyProtection="1">
      <alignment horizontal="center"/>
      <protection locked="0"/>
    </xf>
    <xf numFmtId="166" fontId="31" fillId="3" borderId="3" xfId="1" applyNumberFormat="1" applyFont="1" applyFill="1" applyBorder="1" applyAlignment="1" applyProtection="1">
      <alignment horizontal="center"/>
      <protection locked="0"/>
    </xf>
    <xf numFmtId="0" fontId="92" fillId="0" borderId="0" xfId="0" applyFont="1"/>
    <xf numFmtId="3" fontId="0" fillId="0" borderId="0" xfId="0" applyNumberFormat="1"/>
    <xf numFmtId="1" fontId="0" fillId="0" borderId="0" xfId="0" applyNumberFormat="1"/>
    <xf numFmtId="1" fontId="92" fillId="0" borderId="0" xfId="0" applyNumberFormat="1" applyFont="1"/>
    <xf numFmtId="3" fontId="92" fillId="0" borderId="0" xfId="0" applyNumberFormat="1" applyFont="1"/>
    <xf numFmtId="166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41" fillId="3" borderId="2" xfId="0" applyFont="1" applyFill="1" applyBorder="1" applyAlignment="1">
      <alignment vertical="center"/>
    </xf>
    <xf numFmtId="2" fontId="0" fillId="0" borderId="0" xfId="0" applyNumberFormat="1"/>
    <xf numFmtId="167" fontId="0" fillId="0" borderId="0" xfId="0" applyNumberFormat="1"/>
    <xf numFmtId="167" fontId="93" fillId="0" borderId="0" xfId="0" applyNumberFormat="1" applyFont="1"/>
    <xf numFmtId="0" fontId="94" fillId="0" borderId="0" xfId="0" applyFont="1"/>
    <xf numFmtId="0" fontId="95" fillId="0" borderId="0" xfId="0" applyFont="1" applyAlignment="1">
      <alignment horizontal="center"/>
    </xf>
    <xf numFmtId="0" fontId="96" fillId="0" borderId="0" xfId="0" applyFont="1"/>
    <xf numFmtId="0" fontId="96" fillId="13" borderId="0" xfId="0" applyFont="1" applyFill="1"/>
    <xf numFmtId="0" fontId="97" fillId="0" borderId="0" xfId="0" applyFont="1"/>
    <xf numFmtId="1" fontId="97" fillId="0" borderId="0" xfId="0" applyNumberFormat="1" applyFont="1"/>
    <xf numFmtId="0" fontId="92" fillId="0" borderId="0" xfId="0" quotePrefix="1" applyFont="1" applyAlignment="1">
      <alignment horizontal="center"/>
    </xf>
    <xf numFmtId="167" fontId="98" fillId="0" borderId="0" xfId="0" applyNumberFormat="1" applyFont="1"/>
    <xf numFmtId="4" fontId="0" fillId="0" borderId="0" xfId="0" applyNumberFormat="1"/>
    <xf numFmtId="3" fontId="94" fillId="0" borderId="0" xfId="0" applyNumberFormat="1" applyFont="1"/>
    <xf numFmtId="0" fontId="0" fillId="0" borderId="0" xfId="0" quotePrefix="1"/>
    <xf numFmtId="3" fontId="0" fillId="14" borderId="0" xfId="0" applyNumberFormat="1" applyFill="1"/>
    <xf numFmtId="3" fontId="93" fillId="0" borderId="0" xfId="0" applyNumberFormat="1" applyFont="1"/>
    <xf numFmtId="0" fontId="0" fillId="0" borderId="0" xfId="0" quotePrefix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" fontId="22" fillId="3" borderId="0" xfId="0" quotePrefix="1" applyNumberFormat="1" applyFont="1" applyFill="1" applyAlignment="1">
      <alignment horizontal="left" vertical="center"/>
    </xf>
    <xf numFmtId="1" fontId="99" fillId="0" borderId="0" xfId="0" applyNumberFormat="1" applyFont="1"/>
    <xf numFmtId="0" fontId="76" fillId="0" borderId="0" xfId="0" applyFont="1"/>
    <xf numFmtId="0" fontId="4" fillId="9" borderId="0" xfId="0" applyFont="1" applyFill="1"/>
    <xf numFmtId="0" fontId="12" fillId="3" borderId="2" xfId="0" applyFont="1" applyFill="1" applyBorder="1" applyAlignment="1">
      <alignment horizontal="center" vertical="center"/>
    </xf>
    <xf numFmtId="4" fontId="21" fillId="3" borderId="2" xfId="1" applyNumberFormat="1" applyFont="1" applyFill="1" applyBorder="1" applyAlignment="1" applyProtection="1">
      <alignment horizontal="center" vertical="center"/>
      <protection locked="0"/>
    </xf>
    <xf numFmtId="4" fontId="21" fillId="3" borderId="1" xfId="1" applyNumberFormat="1" applyFont="1" applyFill="1" applyBorder="1" applyAlignment="1" applyProtection="1">
      <alignment horizontal="center" vertical="center"/>
      <protection locked="0"/>
    </xf>
    <xf numFmtId="169" fontId="12" fillId="3" borderId="2" xfId="0" applyNumberFormat="1" applyFont="1" applyFill="1" applyBorder="1" applyAlignment="1">
      <alignment horizontal="center" vertical="center"/>
    </xf>
    <xf numFmtId="170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165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101" fillId="3" borderId="0" xfId="0" quotePrefix="1" applyFont="1" applyFill="1" applyAlignment="1">
      <alignment horizontal="center" vertical="center"/>
    </xf>
    <xf numFmtId="0" fontId="93" fillId="0" borderId="0" xfId="0" applyFont="1"/>
    <xf numFmtId="0" fontId="100" fillId="14" borderId="0" xfId="0" applyFont="1" applyFill="1"/>
    <xf numFmtId="1" fontId="15" fillId="3" borderId="0" xfId="1" applyNumberFormat="1" applyFont="1" applyFill="1" applyAlignment="1" applyProtection="1">
      <alignment horizontal="center" vertical="center"/>
      <protection locked="0"/>
    </xf>
    <xf numFmtId="3" fontId="102" fillId="6" borderId="19" xfId="1" applyNumberFormat="1" applyFont="1" applyFill="1" applyBorder="1" applyAlignment="1" applyProtection="1">
      <alignment horizontal="center" vertical="center"/>
      <protection locked="0"/>
    </xf>
    <xf numFmtId="0" fontId="31" fillId="3" borderId="0" xfId="0" quotePrefix="1" applyFont="1" applyFill="1" applyAlignment="1">
      <alignment horizontal="center" vertical="center"/>
    </xf>
    <xf numFmtId="9" fontId="14" fillId="5" borderId="5" xfId="1" applyFont="1" applyFill="1" applyBorder="1" applyAlignment="1" applyProtection="1">
      <alignment horizontal="center" vertical="center"/>
      <protection locked="0"/>
    </xf>
    <xf numFmtId="49" fontId="14" fillId="3" borderId="1" xfId="1" applyNumberFormat="1" applyFont="1" applyFill="1" applyBorder="1" applyAlignment="1" applyProtection="1">
      <alignment horizontal="center" vertical="center"/>
      <protection locked="0"/>
    </xf>
    <xf numFmtId="167" fontId="17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vertical="center"/>
    </xf>
    <xf numFmtId="167" fontId="12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3" fontId="103" fillId="6" borderId="19" xfId="1" applyNumberFormat="1" applyFont="1" applyFill="1" applyBorder="1" applyAlignment="1" applyProtection="1">
      <alignment horizontal="center" vertical="center"/>
      <protection locked="0"/>
    </xf>
    <xf numFmtId="164" fontId="93" fillId="0" borderId="0" xfId="0" applyNumberFormat="1" applyFont="1"/>
    <xf numFmtId="3" fontId="16" fillId="3" borderId="0" xfId="0" applyNumberFormat="1" applyFont="1" applyFill="1" applyAlignment="1" applyProtection="1">
      <alignment horizontal="left" vertical="center"/>
      <protection locked="0"/>
    </xf>
    <xf numFmtId="0" fontId="106" fillId="3" borderId="0" xfId="0" applyFont="1" applyFill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05" fillId="15" borderId="0" xfId="0" applyFont="1" applyFill="1"/>
    <xf numFmtId="0" fontId="97" fillId="15" borderId="0" xfId="0" applyFont="1" applyFill="1"/>
    <xf numFmtId="0" fontId="96" fillId="15" borderId="0" xfId="0" applyFont="1" applyFill="1"/>
    <xf numFmtId="0" fontId="104" fillId="15" borderId="0" xfId="0" applyFont="1" applyFill="1" applyAlignment="1">
      <alignment readingOrder="1"/>
    </xf>
    <xf numFmtId="0" fontId="25" fillId="15" borderId="0" xfId="0" applyFont="1" applyFill="1" applyAlignment="1">
      <alignment vertical="center"/>
    </xf>
    <xf numFmtId="0" fontId="107" fillId="15" borderId="0" xfId="0" applyFont="1" applyFill="1" applyAlignment="1">
      <alignment readingOrder="1"/>
    </xf>
    <xf numFmtId="0" fontId="108" fillId="15" borderId="0" xfId="0" applyFont="1" applyFill="1"/>
    <xf numFmtId="0" fontId="97" fillId="15" borderId="22" xfId="0" applyFont="1" applyFill="1" applyBorder="1"/>
    <xf numFmtId="0" fontId="11" fillId="15" borderId="23" xfId="0" applyFont="1" applyFill="1" applyBorder="1" applyAlignment="1">
      <alignment vertical="center"/>
    </xf>
    <xf numFmtId="0" fontId="96" fillId="15" borderId="22" xfId="0" applyFont="1" applyFill="1" applyBorder="1"/>
    <xf numFmtId="3" fontId="96" fillId="0" borderId="0" xfId="0" applyNumberFormat="1" applyFont="1"/>
    <xf numFmtId="10" fontId="0" fillId="0" borderId="0" xfId="0" applyNumberFormat="1"/>
    <xf numFmtId="10" fontId="97" fillId="0" borderId="0" xfId="0" quotePrefix="1" applyNumberFormat="1" applyFont="1"/>
    <xf numFmtId="165" fontId="0" fillId="0" borderId="0" xfId="0" applyNumberFormat="1"/>
    <xf numFmtId="0" fontId="105" fillId="0" borderId="0" xfId="0" applyFont="1"/>
    <xf numFmtId="9" fontId="99" fillId="0" borderId="0" xfId="0" applyNumberFormat="1" applyFont="1"/>
    <xf numFmtId="165" fontId="99" fillId="0" borderId="0" xfId="0" applyNumberFormat="1" applyFont="1"/>
    <xf numFmtId="0" fontId="99" fillId="0" borderId="0" xfId="0" quotePrefix="1" applyFont="1"/>
    <xf numFmtId="1" fontId="101" fillId="0" borderId="0" xfId="0" applyNumberFormat="1" applyFont="1"/>
    <xf numFmtId="1" fontId="97" fillId="0" borderId="0" xfId="0" quotePrefix="1" applyNumberFormat="1" applyFont="1"/>
    <xf numFmtId="0" fontId="0" fillId="16" borderId="0" xfId="0" quotePrefix="1" applyFill="1"/>
    <xf numFmtId="9" fontId="99" fillId="16" borderId="0" xfId="0" applyNumberFormat="1" applyFont="1" applyFill="1"/>
    <xf numFmtId="165" fontId="99" fillId="16" borderId="0" xfId="0" applyNumberFormat="1" applyFont="1" applyFill="1"/>
    <xf numFmtId="0" fontId="97" fillId="0" borderId="2" xfId="0" applyFont="1" applyBorder="1"/>
    <xf numFmtId="0" fontId="97" fillId="0" borderId="24" xfId="0" applyFont="1" applyBorder="1"/>
    <xf numFmtId="0" fontId="109" fillId="3" borderId="2" xfId="4" applyFill="1" applyBorder="1" applyAlignment="1">
      <alignment vertical="center"/>
    </xf>
    <xf numFmtId="0" fontId="106" fillId="3" borderId="2" xfId="2" applyFont="1" applyFill="1" applyBorder="1" applyAlignment="1">
      <alignment vertical="center"/>
    </xf>
    <xf numFmtId="3" fontId="92" fillId="14" borderId="0" xfId="0" applyNumberFormat="1" applyFont="1" applyFill="1"/>
    <xf numFmtId="3" fontId="8" fillId="3" borderId="0" xfId="0" applyNumberFormat="1" applyFont="1" applyFill="1" applyAlignment="1">
      <alignment vertical="center"/>
    </xf>
    <xf numFmtId="0" fontId="110" fillId="0" borderId="2" xfId="0" applyFont="1" applyBorder="1"/>
    <xf numFmtId="0" fontId="0" fillId="14" borderId="0" xfId="0" applyFill="1"/>
    <xf numFmtId="164" fontId="21" fillId="3" borderId="1" xfId="1" applyNumberFormat="1" applyFont="1" applyFill="1" applyBorder="1" applyAlignment="1" applyProtection="1">
      <alignment horizontal="center" vertical="center"/>
      <protection locked="0"/>
    </xf>
    <xf numFmtId="0" fontId="111" fillId="0" borderId="0" xfId="0" applyFont="1"/>
    <xf numFmtId="0" fontId="11" fillId="14" borderId="0" xfId="0" applyFont="1" applyFill="1" applyAlignment="1">
      <alignment vertical="center"/>
    </xf>
    <xf numFmtId="0" fontId="92" fillId="14" borderId="0" xfId="0" quotePrefix="1" applyFont="1" applyFill="1" applyAlignment="1">
      <alignment horizontal="center"/>
    </xf>
    <xf numFmtId="4" fontId="0" fillId="14" borderId="0" xfId="0" applyNumberFormat="1" applyFill="1"/>
    <xf numFmtId="1" fontId="0" fillId="14" borderId="0" xfId="0" applyNumberFormat="1" applyFill="1"/>
    <xf numFmtId="3" fontId="96" fillId="14" borderId="0" xfId="0" applyNumberFormat="1" applyFont="1" applyFill="1"/>
    <xf numFmtId="1" fontId="92" fillId="14" borderId="0" xfId="0" applyNumberFormat="1" applyFont="1" applyFill="1"/>
    <xf numFmtId="1" fontId="99" fillId="18" borderId="0" xfId="0" applyNumberFormat="1" applyFont="1" applyFill="1"/>
    <xf numFmtId="0" fontId="94" fillId="0" borderId="2" xfId="0" applyFont="1" applyBorder="1"/>
    <xf numFmtId="0" fontId="94" fillId="0" borderId="24" xfId="0" applyFont="1" applyBorder="1"/>
    <xf numFmtId="0" fontId="97" fillId="0" borderId="25" xfId="0" applyFont="1" applyBorder="1"/>
    <xf numFmtId="3" fontId="85" fillId="19" borderId="26" xfId="0" applyNumberFormat="1" applyFont="1" applyFill="1" applyBorder="1"/>
    <xf numFmtId="0" fontId="102" fillId="0" borderId="26" xfId="0" applyFont="1" applyBorder="1"/>
    <xf numFmtId="3" fontId="102" fillId="0" borderId="26" xfId="0" applyNumberFormat="1" applyFont="1" applyBorder="1"/>
    <xf numFmtId="0" fontId="112" fillId="0" borderId="26" xfId="0" applyFont="1" applyBorder="1"/>
    <xf numFmtId="0" fontId="97" fillId="0" borderId="26" xfId="0" applyFont="1" applyBorder="1"/>
    <xf numFmtId="0" fontId="85" fillId="0" borderId="26" xfId="0" applyFont="1" applyBorder="1"/>
    <xf numFmtId="3" fontId="85" fillId="0" borderId="26" xfId="0" applyNumberFormat="1" applyFont="1" applyBorder="1"/>
    <xf numFmtId="10" fontId="85" fillId="0" borderId="26" xfId="0" applyNumberFormat="1" applyFont="1" applyBorder="1"/>
    <xf numFmtId="10" fontId="102" fillId="0" borderId="26" xfId="0" applyNumberFormat="1" applyFont="1" applyBorder="1"/>
    <xf numFmtId="0" fontId="97" fillId="0" borderId="0" xfId="0" applyFont="1" applyAlignment="1">
      <alignment horizontal="right"/>
    </xf>
    <xf numFmtId="0" fontId="94" fillId="0" borderId="22" xfId="0" applyFont="1" applyBorder="1"/>
    <xf numFmtId="0" fontId="113" fillId="3" borderId="0" xfId="0" applyFont="1" applyFill="1" applyAlignment="1">
      <alignment vertical="center"/>
    </xf>
    <xf numFmtId="0" fontId="114" fillId="3" borderId="0" xfId="0" applyFont="1" applyFill="1" applyAlignment="1">
      <alignment vertical="center"/>
    </xf>
    <xf numFmtId="0" fontId="109" fillId="3" borderId="0" xfId="4" applyFill="1" applyAlignment="1" applyProtection="1">
      <alignment horizontal="left" vertical="center"/>
      <protection locked="0"/>
    </xf>
    <xf numFmtId="0" fontId="115" fillId="3" borderId="0" xfId="0" quotePrefix="1" applyFont="1" applyFill="1" applyAlignment="1">
      <alignment horizontal="left" vertical="center"/>
    </xf>
    <xf numFmtId="0" fontId="116" fillId="0" borderId="0" xfId="0" applyFont="1"/>
    <xf numFmtId="0" fontId="0" fillId="14" borderId="0" xfId="0" applyFill="1" applyAlignment="1">
      <alignment horizontal="right"/>
    </xf>
    <xf numFmtId="0" fontId="92" fillId="14" borderId="0" xfId="0" applyFont="1" applyFill="1" applyAlignment="1">
      <alignment horizontal="right"/>
    </xf>
    <xf numFmtId="0" fontId="0" fillId="0" borderId="22" xfId="0" applyBorder="1"/>
    <xf numFmtId="0" fontId="117" fillId="0" borderId="0" xfId="0" applyFont="1"/>
    <xf numFmtId="0" fontId="0" fillId="0" borderId="22" xfId="0" quotePrefix="1" applyBorder="1"/>
    <xf numFmtId="0" fontId="0" fillId="0" borderId="23" xfId="0" applyBorder="1"/>
    <xf numFmtId="3" fontId="118" fillId="6" borderId="29" xfId="1" applyNumberFormat="1" applyFont="1" applyFill="1" applyBorder="1" applyAlignment="1" applyProtection="1">
      <alignment horizontal="center" vertical="center"/>
      <protection locked="0"/>
    </xf>
    <xf numFmtId="3" fontId="118" fillId="6" borderId="14" xfId="1" applyNumberFormat="1" applyFont="1" applyFill="1" applyBorder="1" applyAlignment="1" applyProtection="1">
      <alignment horizontal="center" vertical="center"/>
      <protection locked="0"/>
    </xf>
    <xf numFmtId="0" fontId="119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20" fillId="0" borderId="0" xfId="0" applyFont="1"/>
    <xf numFmtId="0" fontId="0" fillId="0" borderId="0" xfId="0" applyAlignment="1">
      <alignment wrapText="1"/>
    </xf>
    <xf numFmtId="0" fontId="1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9" fillId="0" borderId="0" xfId="4" applyAlignment="1">
      <alignment vertical="center"/>
    </xf>
    <xf numFmtId="0" fontId="119" fillId="0" borderId="0" xfId="0" applyFont="1"/>
    <xf numFmtId="0" fontId="123" fillId="0" borderId="0" xfId="0" applyFont="1" applyAlignment="1">
      <alignment horizontal="left" vertical="center" wrapText="1"/>
    </xf>
    <xf numFmtId="0" fontId="124" fillId="0" borderId="0" xfId="0" applyFont="1" applyAlignment="1">
      <alignment horizontal="left" vertical="center" indent="1"/>
    </xf>
    <xf numFmtId="0" fontId="31" fillId="0" borderId="0" xfId="0" applyFont="1"/>
    <xf numFmtId="0" fontId="76" fillId="20" borderId="2" xfId="0" applyFont="1" applyFill="1" applyBorder="1" applyAlignment="1">
      <alignment wrapText="1"/>
    </xf>
    <xf numFmtId="0" fontId="76" fillId="3" borderId="0" xfId="0" applyFont="1" applyFill="1" applyAlignment="1">
      <alignment horizontal="center" vertical="center"/>
    </xf>
    <xf numFmtId="0" fontId="125" fillId="17" borderId="0" xfId="0" applyFont="1" applyFill="1"/>
    <xf numFmtId="0" fontId="92" fillId="20" borderId="0" xfId="0" applyFont="1" applyFill="1"/>
    <xf numFmtId="0" fontId="21" fillId="0" borderId="0" xfId="0" applyFont="1"/>
    <xf numFmtId="0" fontId="126" fillId="0" borderId="0" xfId="0" applyFont="1"/>
    <xf numFmtId="167" fontId="92" fillId="0" borderId="0" xfId="0" applyNumberFormat="1" applyFont="1"/>
    <xf numFmtId="0" fontId="0" fillId="20" borderId="2" xfId="0" applyFill="1" applyBorder="1"/>
    <xf numFmtId="165" fontId="92" fillId="0" borderId="0" xfId="0" applyNumberFormat="1" applyFont="1"/>
    <xf numFmtId="0" fontId="0" fillId="21" borderId="0" xfId="0" applyFill="1"/>
    <xf numFmtId="0" fontId="92" fillId="21" borderId="0" xfId="0" applyFont="1" applyFill="1"/>
    <xf numFmtId="0" fontId="0" fillId="22" borderId="0" xfId="0" applyFill="1"/>
    <xf numFmtId="0" fontId="92" fillId="22" borderId="0" xfId="0" applyFont="1" applyFill="1"/>
    <xf numFmtId="0" fontId="122" fillId="0" borderId="0" xfId="0" applyFont="1"/>
    <xf numFmtId="0" fontId="123" fillId="20" borderId="2" xfId="0" applyFont="1" applyFill="1" applyBorder="1" applyAlignment="1">
      <alignment horizontal="left" vertical="center" wrapText="1"/>
    </xf>
    <xf numFmtId="0" fontId="109" fillId="3" borderId="0" xfId="4" applyFill="1" applyAlignment="1">
      <alignment horizontal="left" vertical="center"/>
    </xf>
    <xf numFmtId="166" fontId="31" fillId="3" borderId="2" xfId="1" applyNumberFormat="1" applyFont="1" applyFill="1" applyBorder="1" applyAlignment="1" applyProtection="1">
      <alignment horizontal="center" vertical="center"/>
      <protection locked="0"/>
    </xf>
    <xf numFmtId="2" fontId="0" fillId="23" borderId="2" xfId="0" applyNumberFormat="1" applyFill="1" applyBorder="1"/>
    <xf numFmtId="2" fontId="0" fillId="0" borderId="2" xfId="0" applyNumberFormat="1" applyBorder="1"/>
    <xf numFmtId="170" fontId="0" fillId="0" borderId="2" xfId="0" applyNumberFormat="1" applyBorder="1"/>
    <xf numFmtId="0" fontId="0" fillId="24" borderId="2" xfId="0" applyFill="1" applyBorder="1"/>
    <xf numFmtId="0" fontId="92" fillId="24" borderId="2" xfId="0" applyFont="1" applyFill="1" applyBorder="1"/>
    <xf numFmtId="10" fontId="85" fillId="0" borderId="30" xfId="0" applyNumberFormat="1" applyFont="1" applyBorder="1"/>
    <xf numFmtId="10" fontId="102" fillId="0" borderId="30" xfId="0" applyNumberFormat="1" applyFont="1" applyBorder="1"/>
    <xf numFmtId="10" fontId="85" fillId="0" borderId="2" xfId="0" applyNumberFormat="1" applyFont="1" applyBorder="1"/>
    <xf numFmtId="10" fontId="102" fillId="0" borderId="2" xfId="0" applyNumberFormat="1" applyFont="1" applyBorder="1"/>
    <xf numFmtId="3" fontId="85" fillId="25" borderId="2" xfId="0" applyNumberFormat="1" applyFont="1" applyFill="1" applyBorder="1"/>
    <xf numFmtId="3" fontId="102" fillId="25" borderId="2" xfId="0" applyNumberFormat="1" applyFont="1" applyFill="1" applyBorder="1"/>
    <xf numFmtId="3" fontId="85" fillId="25" borderId="2" xfId="0" applyNumberFormat="1" applyFont="1" applyFill="1" applyBorder="1" applyAlignment="1">
      <alignment horizontal="center"/>
    </xf>
    <xf numFmtId="10" fontId="85" fillId="0" borderId="2" xfId="0" applyNumberFormat="1" applyFont="1" applyBorder="1" applyAlignment="1">
      <alignment horizontal="center"/>
    </xf>
    <xf numFmtId="3" fontId="85" fillId="19" borderId="22" xfId="0" applyNumberFormat="1" applyFont="1" applyFill="1" applyBorder="1"/>
    <xf numFmtId="3" fontId="85" fillId="0" borderId="22" xfId="0" applyNumberFormat="1" applyFont="1" applyBorder="1"/>
    <xf numFmtId="9" fontId="0" fillId="15" borderId="0" xfId="0" applyNumberFormat="1" applyFill="1"/>
    <xf numFmtId="9" fontId="99" fillId="15" borderId="0" xfId="0" applyNumberFormat="1" applyFont="1" applyFill="1"/>
    <xf numFmtId="3" fontId="129" fillId="0" borderId="0" xfId="0" applyNumberFormat="1" applyFont="1"/>
    <xf numFmtId="165" fontId="99" fillId="15" borderId="0" xfId="0" applyNumberFormat="1" applyFont="1" applyFill="1"/>
    <xf numFmtId="10" fontId="99" fillId="15" borderId="0" xfId="0" applyNumberFormat="1" applyFont="1" applyFill="1"/>
    <xf numFmtId="0" fontId="2" fillId="2" borderId="0" xfId="2" applyFont="1" applyFill="1" applyAlignment="1">
      <alignment horizontal="center" vertical="center"/>
    </xf>
    <xf numFmtId="0" fontId="50" fillId="8" borderId="6" xfId="2" applyFont="1" applyFill="1" applyBorder="1" applyAlignment="1">
      <alignment horizontal="center" vertical="center"/>
    </xf>
    <xf numFmtId="0" fontId="50" fillId="8" borderId="7" xfId="2" applyFont="1" applyFill="1" applyBorder="1" applyAlignment="1">
      <alignment horizontal="center" vertical="center"/>
    </xf>
    <xf numFmtId="0" fontId="50" fillId="8" borderId="8" xfId="2" applyFont="1" applyFill="1" applyBorder="1" applyAlignment="1">
      <alignment horizontal="center" vertical="center"/>
    </xf>
    <xf numFmtId="0" fontId="50" fillId="8" borderId="9" xfId="2" applyFont="1" applyFill="1" applyBorder="1" applyAlignment="1">
      <alignment horizontal="center" vertical="center"/>
    </xf>
    <xf numFmtId="0" fontId="50" fillId="8" borderId="0" xfId="2" applyFont="1" applyFill="1" applyAlignment="1">
      <alignment horizontal="center" vertical="center"/>
    </xf>
    <xf numFmtId="0" fontId="50" fillId="8" borderId="10" xfId="2" applyFont="1" applyFill="1" applyBorder="1" applyAlignment="1">
      <alignment horizontal="center" vertical="center"/>
    </xf>
    <xf numFmtId="0" fontId="56" fillId="8" borderId="9" xfId="2" applyFont="1" applyFill="1" applyBorder="1" applyAlignment="1">
      <alignment horizontal="left" vertical="center" wrapText="1"/>
    </xf>
    <xf numFmtId="0" fontId="56" fillId="8" borderId="0" xfId="2" applyFont="1" applyFill="1" applyAlignment="1">
      <alignment horizontal="left" vertical="center" wrapText="1"/>
    </xf>
    <xf numFmtId="0" fontId="56" fillId="8" borderId="10" xfId="2" applyFont="1" applyFill="1" applyBorder="1" applyAlignment="1">
      <alignment horizontal="left" vertical="center" wrapText="1"/>
    </xf>
    <xf numFmtId="0" fontId="56" fillId="8" borderId="11" xfId="2" applyFont="1" applyFill="1" applyBorder="1" applyAlignment="1">
      <alignment horizontal="left" vertical="center" wrapText="1"/>
    </xf>
    <xf numFmtId="0" fontId="56" fillId="8" borderId="12" xfId="2" applyFont="1" applyFill="1" applyBorder="1" applyAlignment="1">
      <alignment horizontal="left" vertical="center" wrapText="1"/>
    </xf>
    <xf numFmtId="0" fontId="56" fillId="8" borderId="13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28" fillId="0" borderId="2" xfId="0" applyFont="1" applyBorder="1" applyAlignment="1">
      <alignment horizontal="left" wrapText="1"/>
    </xf>
    <xf numFmtId="0" fontId="127" fillId="20" borderId="2" xfId="0" applyFont="1" applyFill="1" applyBorder="1" applyAlignment="1">
      <alignment horizontal="center"/>
    </xf>
    <xf numFmtId="0" fontId="97" fillId="0" borderId="28" xfId="0" applyFont="1" applyBorder="1"/>
    <xf numFmtId="0" fontId="97" fillId="0" borderId="27" xfId="0" applyFont="1" applyBorder="1"/>
  </cellXfs>
  <cellStyles count="5">
    <cellStyle name="Hyperlink" xfId="4" builtinId="8"/>
    <cellStyle name="Hyperlink 2" xfId="3" xr:uid="{B1AFFDE4-526A-4A5F-A1F6-E9A5B0227D0A}"/>
    <cellStyle name="Normal" xfId="0" builtinId="0"/>
    <cellStyle name="Normal 2" xfId="2" xr:uid="{31E856F8-7508-4DFE-A74C-E61112ED7701}"/>
    <cellStyle name="Percent" xfId="1" builtinId="5"/>
  </cellStyles>
  <dxfs count="1150">
    <dxf>
      <fill>
        <patternFill patternType="none">
          <bgColor auto="1"/>
        </patternFill>
      </fill>
    </dxf>
    <dxf>
      <fill>
        <patternFill>
          <bgColor rgb="FFD9D9D9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FFFFFF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rgb="FFEC6625"/>
        </patternFill>
      </fill>
    </dxf>
    <dxf>
      <fill>
        <patternFill>
          <bgColor rgb="FFFAD2A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solid">
          <bgColor rgb="FFD9D9D9"/>
        </patternFill>
      </fill>
    </dxf>
    <dxf>
      <font>
        <color rgb="FFFFFFFF"/>
      </font>
      <fill>
        <patternFill>
          <bgColor rgb="FF008F62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EC6625"/>
        </patternFill>
      </fill>
    </dxf>
    <dxf>
      <font>
        <color rgb="FFFFFFFF"/>
      </font>
      <fill>
        <patternFill>
          <bgColor rgb="FFEC662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color rgb="FFFFFFFF"/>
      </font>
      <fill>
        <patternFill>
          <bgColor rgb="FF008F62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EC6625"/>
        </patternFill>
      </fill>
    </dxf>
    <dxf>
      <fill>
        <patternFill patternType="solid">
          <bgColor rgb="FFD9D9D9"/>
        </patternFill>
      </fill>
    </dxf>
    <dxf>
      <font>
        <color rgb="FFFFFFFF"/>
      </font>
      <fill>
        <patternFill>
          <bgColor rgb="FFEC662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ont>
        <b val="0"/>
        <i val="0"/>
        <color rgb="FFFFFFFF"/>
      </font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F2F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'Baseline scenario'!$A$77</c:f>
              <c:strCache>
                <c:ptCount val="1"/>
                <c:pt idx="0">
                  <c:v>Gasoline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scenario'!$C$77:$AQ$77</c:f>
              <c:numCache>
                <c:formatCode>0%</c:formatCode>
                <c:ptCount val="41"/>
                <c:pt idx="0">
                  <c:v>0.38528671329240594</c:v>
                </c:pt>
                <c:pt idx="1">
                  <c:v>0.35909255391345041</c:v>
                </c:pt>
                <c:pt idx="2">
                  <c:v>0.3400024344250312</c:v>
                </c:pt>
                <c:pt idx="3">
                  <c:v>0.32665074930459476</c:v>
                </c:pt>
                <c:pt idx="4">
                  <c:v>0.32693601606948675</c:v>
                </c:pt>
                <c:pt idx="5">
                  <c:v>0.31730325737647802</c:v>
                </c:pt>
                <c:pt idx="6">
                  <c:v>0.32808792051879188</c:v>
                </c:pt>
                <c:pt idx="7">
                  <c:v>0.33259413275499572</c:v>
                </c:pt>
                <c:pt idx="8">
                  <c:v>0.32767847120879368</c:v>
                </c:pt>
                <c:pt idx="9">
                  <c:v>0.32825373683307979</c:v>
                </c:pt>
                <c:pt idx="10">
                  <c:v>0.27167070217917672</c:v>
                </c:pt>
                <c:pt idx="11" formatCode="0.00%">
                  <c:v>0.23889127018145451</c:v>
                </c:pt>
                <c:pt idx="12">
                  <c:v>0.23172453207601088</c:v>
                </c:pt>
                <c:pt idx="13">
                  <c:v>0.22477279611373055</c:v>
                </c:pt>
                <c:pt idx="14">
                  <c:v>0.21802961223031864</c:v>
                </c:pt>
                <c:pt idx="15">
                  <c:v>0.21148872386340908</c:v>
                </c:pt>
                <c:pt idx="16">
                  <c:v>0.2051440621475068</c:v>
                </c:pt>
                <c:pt idx="17">
                  <c:v>0.19898974028308158</c:v>
                </c:pt>
                <c:pt idx="18">
                  <c:v>0.19302004807458914</c:v>
                </c:pt>
                <c:pt idx="19">
                  <c:v>0.18722944663235147</c:v>
                </c:pt>
                <c:pt idx="20">
                  <c:v>0.18161256323338093</c:v>
                </c:pt>
                <c:pt idx="21">
                  <c:v>0.17616418633637951</c:v>
                </c:pt>
                <c:pt idx="22">
                  <c:v>0.17087926074628812</c:v>
                </c:pt>
                <c:pt idx="23">
                  <c:v>0.16575288292389947</c:v>
                </c:pt>
                <c:pt idx="24">
                  <c:v>0.1607802964361825</c:v>
                </c:pt>
                <c:pt idx="25">
                  <c:v>0.15595688754309703</c:v>
                </c:pt>
                <c:pt idx="26">
                  <c:v>0.15127818091680412</c:v>
                </c:pt>
                <c:pt idx="27">
                  <c:v>0.1467398354893</c:v>
                </c:pt>
                <c:pt idx="28">
                  <c:v>0.14233764042462099</c:v>
                </c:pt>
                <c:pt idx="29">
                  <c:v>0.13806751121188235</c:v>
                </c:pt>
                <c:pt idx="30">
                  <c:v>0.13392548587552588</c:v>
                </c:pt>
                <c:pt idx="31">
                  <c:v>0.12990772129926009</c:v>
                </c:pt>
                <c:pt idx="32">
                  <c:v>0.12601048966028228</c:v>
                </c:pt>
                <c:pt idx="33">
                  <c:v>0.12223017497047381</c:v>
                </c:pt>
                <c:pt idx="34">
                  <c:v>0.1185632697213596</c:v>
                </c:pt>
                <c:pt idx="35">
                  <c:v>0.1150063716297188</c:v>
                </c:pt>
                <c:pt idx="36">
                  <c:v>0.11155618048082723</c:v>
                </c:pt>
                <c:pt idx="37">
                  <c:v>0.10820949506640241</c:v>
                </c:pt>
                <c:pt idx="38">
                  <c:v>0.10496321021441034</c:v>
                </c:pt>
                <c:pt idx="39">
                  <c:v>0.10181431390797803</c:v>
                </c:pt>
                <c:pt idx="40">
                  <c:v>9.8759884490738692E-2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4-4AC1-8E4A-659B0525F28D}"/>
            </c:ext>
          </c:extLst>
        </c:ser>
        <c:ser>
          <c:idx val="1"/>
          <c:order val="1"/>
          <c:tx>
            <c:strRef>
              <c:f>'Baseline scenario'!$A$78</c:f>
              <c:strCache>
                <c:ptCount val="1"/>
                <c:pt idx="0">
                  <c:v>Diesel oil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scenario'!$C$78:$AQ$78</c:f>
              <c:numCache>
                <c:formatCode>0%</c:formatCode>
                <c:ptCount val="41"/>
                <c:pt idx="0">
                  <c:v>0.59643348734797041</c:v>
                </c:pt>
                <c:pt idx="1">
                  <c:v>0.625454736551604</c:v>
                </c:pt>
                <c:pt idx="2">
                  <c:v>0.64435465085152854</c:v>
                </c:pt>
                <c:pt idx="3">
                  <c:v>0.65685782921644587</c:v>
                </c:pt>
                <c:pt idx="4">
                  <c:v>0.65320652997187556</c:v>
                </c:pt>
                <c:pt idx="5">
                  <c:v>0.66337038883867216</c:v>
                </c:pt>
                <c:pt idx="6">
                  <c:v>0.65212315213093852</c:v>
                </c:pt>
                <c:pt idx="7">
                  <c:v>0.64471197202281005</c:v>
                </c:pt>
                <c:pt idx="8">
                  <c:v>0.62762912970894214</c:v>
                </c:pt>
                <c:pt idx="9">
                  <c:v>0.60440752260695518</c:v>
                </c:pt>
                <c:pt idx="10">
                  <c:v>0.63153753026634363</c:v>
                </c:pt>
                <c:pt idx="11" formatCode="0.00%">
                  <c:v>0.65883697671095864</c:v>
                </c:pt>
                <c:pt idx="12">
                  <c:v>0.66213116159451335</c:v>
                </c:pt>
                <c:pt idx="13">
                  <c:v>0.66544181740248587</c:v>
                </c:pt>
                <c:pt idx="14">
                  <c:v>0.66876902648949821</c:v>
                </c:pt>
                <c:pt idx="15">
                  <c:v>0.67211287162194566</c:v>
                </c:pt>
                <c:pt idx="16">
                  <c:v>0.67547343598005527</c:v>
                </c:pt>
                <c:pt idx="17">
                  <c:v>0.6788508031599555</c:v>
                </c:pt>
                <c:pt idx="18">
                  <c:v>0.68224505717575523</c:v>
                </c:pt>
                <c:pt idx="19">
                  <c:v>0.6856562824616339</c:v>
                </c:pt>
                <c:pt idx="20">
                  <c:v>0.68908456387394201</c:v>
                </c:pt>
                <c:pt idx="21">
                  <c:v>0.69252998669331167</c:v>
                </c:pt>
                <c:pt idx="22">
                  <c:v>0.69599263662677813</c:v>
                </c:pt>
                <c:pt idx="23">
                  <c:v>0.69947259980991194</c:v>
                </c:pt>
                <c:pt idx="24">
                  <c:v>0.7029699628089614</c:v>
                </c:pt>
                <c:pt idx="25">
                  <c:v>0.70648481262300611</c:v>
                </c:pt>
                <c:pt idx="26">
                  <c:v>0.71001723668612104</c:v>
                </c:pt>
                <c:pt idx="27">
                  <c:v>0.7135673228695516</c:v>
                </c:pt>
                <c:pt idx="28">
                  <c:v>0.71713515948389928</c:v>
                </c:pt>
                <c:pt idx="29">
                  <c:v>0.72072083528131869</c:v>
                </c:pt>
                <c:pt idx="30">
                  <c:v>0.72432443945772518</c:v>
                </c:pt>
                <c:pt idx="31">
                  <c:v>0.72794606165501374</c:v>
                </c:pt>
                <c:pt idx="32">
                  <c:v>0.73158579196328877</c:v>
                </c:pt>
                <c:pt idx="33">
                  <c:v>0.73524372092310508</c:v>
                </c:pt>
                <c:pt idx="34">
                  <c:v>0.7389199395277205</c:v>
                </c:pt>
                <c:pt idx="35">
                  <c:v>0.74261453922535903</c:v>
                </c:pt>
                <c:pt idx="36">
                  <c:v>0.74632761192148578</c:v>
                </c:pt>
                <c:pt idx="37">
                  <c:v>0.75005924998109308</c:v>
                </c:pt>
                <c:pt idx="38">
                  <c:v>0.7538095462309985</c:v>
                </c:pt>
                <c:pt idx="39">
                  <c:v>0.75757859396215343</c:v>
                </c:pt>
                <c:pt idx="40">
                  <c:v>0.76136648693196407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4-4AC1-8E4A-659B0525F28D}"/>
            </c:ext>
          </c:extLst>
        </c:ser>
        <c:ser>
          <c:idx val="2"/>
          <c:order val="2"/>
          <c:tx>
            <c:strRef>
              <c:f>'Baseline scenario'!$A$79</c:f>
              <c:strCache>
                <c:ptCount val="1"/>
                <c:pt idx="0">
                  <c:v>Aviation gasoline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scenario'!$C$79:$AQ$79</c:f>
              <c:numCache>
                <c:formatCode>0.0%</c:formatCode>
                <c:ptCount val="41"/>
                <c:pt idx="0">
                  <c:v>1.2718030142354687E-3</c:v>
                </c:pt>
                <c:pt idx="1">
                  <c:v>1.5532513214373952E-3</c:v>
                </c:pt>
                <c:pt idx="2">
                  <c:v>1.3669770007006378E-3</c:v>
                </c:pt>
                <c:pt idx="3">
                  <c:v>1.8087037123066642E-3</c:v>
                </c:pt>
                <c:pt idx="4">
                  <c:v>1.8194700024736657E-3</c:v>
                </c:pt>
                <c:pt idx="5">
                  <c:v>1.8733362618908224E-3</c:v>
                </c:pt>
                <c:pt idx="6">
                  <c:v>1.4926644648396276E-3</c:v>
                </c:pt>
                <c:pt idx="7">
                  <c:v>1.522862111787638E-3</c:v>
                </c:pt>
                <c:pt idx="8">
                  <c:v>1.6421878595714835E-3</c:v>
                </c:pt>
                <c:pt idx="9">
                  <c:v>1.5617417561053844E-3</c:v>
                </c:pt>
                <c:pt idx="10">
                  <c:v>1.5133171912832927E-3</c:v>
                </c:pt>
                <c:pt idx="11" formatCode="0.00%">
                  <c:v>2.2288898414059154E-3</c:v>
                </c:pt>
                <c:pt idx="12">
                  <c:v>2.2288898414059154E-3</c:v>
                </c:pt>
                <c:pt idx="13">
                  <c:v>2.2288898414059154E-3</c:v>
                </c:pt>
                <c:pt idx="14">
                  <c:v>2.2288898414059154E-3</c:v>
                </c:pt>
                <c:pt idx="15">
                  <c:v>2.2288898414059154E-3</c:v>
                </c:pt>
                <c:pt idx="16">
                  <c:v>2.2288898414059154E-3</c:v>
                </c:pt>
                <c:pt idx="17">
                  <c:v>2.2288898414059154E-3</c:v>
                </c:pt>
                <c:pt idx="18">
                  <c:v>2.2288898414059154E-3</c:v>
                </c:pt>
                <c:pt idx="19">
                  <c:v>2.2288898414059154E-3</c:v>
                </c:pt>
                <c:pt idx="20">
                  <c:v>2.2288898414059154E-3</c:v>
                </c:pt>
                <c:pt idx="21">
                  <c:v>2.2288898414059154E-3</c:v>
                </c:pt>
                <c:pt idx="22">
                  <c:v>2.2288898414059154E-3</c:v>
                </c:pt>
                <c:pt idx="23">
                  <c:v>2.2288898414059154E-3</c:v>
                </c:pt>
                <c:pt idx="24">
                  <c:v>2.2288898414059154E-3</c:v>
                </c:pt>
                <c:pt idx="25">
                  <c:v>2.2288898414059154E-3</c:v>
                </c:pt>
                <c:pt idx="26">
                  <c:v>2.2288898414059154E-3</c:v>
                </c:pt>
                <c:pt idx="27">
                  <c:v>2.2288898414059154E-3</c:v>
                </c:pt>
                <c:pt idx="28">
                  <c:v>2.2288898414059154E-3</c:v>
                </c:pt>
                <c:pt idx="29">
                  <c:v>2.2288898414059154E-3</c:v>
                </c:pt>
                <c:pt idx="30">
                  <c:v>2.2288898414059154E-3</c:v>
                </c:pt>
                <c:pt idx="31">
                  <c:v>2.2288898414059154E-3</c:v>
                </c:pt>
                <c:pt idx="32">
                  <c:v>2.2288898414059154E-3</c:v>
                </c:pt>
                <c:pt idx="33">
                  <c:v>2.2288898414059154E-3</c:v>
                </c:pt>
                <c:pt idx="34">
                  <c:v>2.2288898414059154E-3</c:v>
                </c:pt>
                <c:pt idx="35">
                  <c:v>2.2288898414059154E-3</c:v>
                </c:pt>
                <c:pt idx="36">
                  <c:v>2.2288898414059154E-3</c:v>
                </c:pt>
                <c:pt idx="37">
                  <c:v>2.2288898414059154E-3</c:v>
                </c:pt>
                <c:pt idx="38">
                  <c:v>2.2288898414059154E-3</c:v>
                </c:pt>
                <c:pt idx="39">
                  <c:v>2.2288898414059154E-3</c:v>
                </c:pt>
                <c:pt idx="40">
                  <c:v>2.2288898414059154E-3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4-4AC1-8E4A-659B0525F28D}"/>
            </c:ext>
          </c:extLst>
        </c:ser>
        <c:ser>
          <c:idx val="3"/>
          <c:order val="3"/>
          <c:tx>
            <c:strRef>
              <c:f>'Baseline scenario'!$A$80</c:f>
              <c:strCache>
                <c:ptCount val="1"/>
                <c:pt idx="0">
                  <c:v>LPG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scenario'!$C$80:$AQ$80</c:f>
              <c:numCache>
                <c:formatCode>0.0%</c:formatCode>
                <c:ptCount val="41"/>
                <c:pt idx="0">
                  <c:v>2.989035987052057E-3</c:v>
                </c:pt>
                <c:pt idx="1">
                  <c:v>3.3420091097172261E-3</c:v>
                </c:pt>
                <c:pt idx="2">
                  <c:v>4.3041375613873285E-3</c:v>
                </c:pt>
                <c:pt idx="3">
                  <c:v>5.1774273439549731E-3</c:v>
                </c:pt>
                <c:pt idx="4">
                  <c:v>6.170723467728915E-3</c:v>
                </c:pt>
                <c:pt idx="5">
                  <c:v>7.1742310580213539E-3</c:v>
                </c:pt>
                <c:pt idx="6">
                  <c:v>7.8879139418492426E-3</c:v>
                </c:pt>
                <c:pt idx="7">
                  <c:v>9.1064606856682793E-3</c:v>
                </c:pt>
                <c:pt idx="8">
                  <c:v>1.0610157588280525E-2</c:v>
                </c:pt>
                <c:pt idx="9">
                  <c:v>1.2625143724349221E-2</c:v>
                </c:pt>
                <c:pt idx="10">
                  <c:v>1.2802663438256657E-2</c:v>
                </c:pt>
                <c:pt idx="11" formatCode="0.00%">
                  <c:v>1.2487498214030578E-2</c:v>
                </c:pt>
                <c:pt idx="12">
                  <c:v>1.2487498214030578E-2</c:v>
                </c:pt>
                <c:pt idx="13">
                  <c:v>1.2487498214030578E-2</c:v>
                </c:pt>
                <c:pt idx="14">
                  <c:v>1.2487498214030578E-2</c:v>
                </c:pt>
                <c:pt idx="15">
                  <c:v>1.2487498214030578E-2</c:v>
                </c:pt>
                <c:pt idx="16">
                  <c:v>1.2487498214030578E-2</c:v>
                </c:pt>
                <c:pt idx="17">
                  <c:v>1.2487498214030578E-2</c:v>
                </c:pt>
                <c:pt idx="18">
                  <c:v>1.2487498214030578E-2</c:v>
                </c:pt>
                <c:pt idx="19">
                  <c:v>1.2487498214030578E-2</c:v>
                </c:pt>
                <c:pt idx="20">
                  <c:v>1.2487498214030578E-2</c:v>
                </c:pt>
                <c:pt idx="21">
                  <c:v>1.2487498214030578E-2</c:v>
                </c:pt>
                <c:pt idx="22">
                  <c:v>1.2487498214030578E-2</c:v>
                </c:pt>
                <c:pt idx="23">
                  <c:v>1.2487498214030578E-2</c:v>
                </c:pt>
                <c:pt idx="24">
                  <c:v>1.2487498214030578E-2</c:v>
                </c:pt>
                <c:pt idx="25">
                  <c:v>1.2487498214030578E-2</c:v>
                </c:pt>
                <c:pt idx="26">
                  <c:v>1.2487498214030578E-2</c:v>
                </c:pt>
                <c:pt idx="27">
                  <c:v>1.2487498214030578E-2</c:v>
                </c:pt>
                <c:pt idx="28">
                  <c:v>1.2487498214030578E-2</c:v>
                </c:pt>
                <c:pt idx="29">
                  <c:v>1.2487498214030578E-2</c:v>
                </c:pt>
                <c:pt idx="30">
                  <c:v>1.2487498214030578E-2</c:v>
                </c:pt>
                <c:pt idx="31">
                  <c:v>1.2487498214030578E-2</c:v>
                </c:pt>
                <c:pt idx="32">
                  <c:v>1.2487498214030578E-2</c:v>
                </c:pt>
                <c:pt idx="33">
                  <c:v>1.2487498214030578E-2</c:v>
                </c:pt>
                <c:pt idx="34">
                  <c:v>1.2487498214030578E-2</c:v>
                </c:pt>
                <c:pt idx="35">
                  <c:v>1.2487498214030578E-2</c:v>
                </c:pt>
                <c:pt idx="36">
                  <c:v>1.2487498214030578E-2</c:v>
                </c:pt>
                <c:pt idx="37">
                  <c:v>1.2487498214030578E-2</c:v>
                </c:pt>
                <c:pt idx="38">
                  <c:v>1.2487498214030578E-2</c:v>
                </c:pt>
                <c:pt idx="39">
                  <c:v>1.2487498214030578E-2</c:v>
                </c:pt>
                <c:pt idx="40">
                  <c:v>1.2487498214030578E-2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4-4AC1-8E4A-659B0525F28D}"/>
            </c:ext>
          </c:extLst>
        </c:ser>
        <c:ser>
          <c:idx val="4"/>
          <c:order val="4"/>
          <c:tx>
            <c:strRef>
              <c:f>'Baseline scenario'!$A$81</c:f>
              <c:strCache>
                <c:ptCount val="1"/>
                <c:pt idx="0">
                  <c:v>NGV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scenario'!$C$81:$AQ$81</c:f>
              <c:numCache>
                <c:formatCode>0.0%</c:formatCode>
                <c:ptCount val="41"/>
                <c:pt idx="0">
                  <c:v>6.3596510362809718E-5</c:v>
                </c:pt>
                <c:pt idx="1">
                  <c:v>3.5205152344455922E-4</c:v>
                </c:pt>
                <c:pt idx="2">
                  <c:v>7.2839567732635219E-4</c:v>
                </c:pt>
                <c:pt idx="3">
                  <c:v>1.1670729431287627E-3</c:v>
                </c:pt>
                <c:pt idx="4">
                  <c:v>2.1321914091488267E-3</c:v>
                </c:pt>
                <c:pt idx="5">
                  <c:v>3.6529553250964114E-3</c:v>
                </c:pt>
                <c:pt idx="6">
                  <c:v>5.3305043435153089E-3</c:v>
                </c:pt>
                <c:pt idx="7">
                  <c:v>5.8328963868986361E-3</c:v>
                </c:pt>
                <c:pt idx="8">
                  <c:v>8.5686367515111009E-3</c:v>
                </c:pt>
                <c:pt idx="9">
                  <c:v>1.1047000758805568E-2</c:v>
                </c:pt>
                <c:pt idx="10">
                  <c:v>1.9703389830508473E-2</c:v>
                </c:pt>
                <c:pt idx="11" formatCode="0.00%">
                  <c:v>2.0574367766823833E-2</c:v>
                </c:pt>
                <c:pt idx="12">
                  <c:v>2.0574367766823833E-2</c:v>
                </c:pt>
                <c:pt idx="13">
                  <c:v>2.0574367766823833E-2</c:v>
                </c:pt>
                <c:pt idx="14">
                  <c:v>2.0574367766823833E-2</c:v>
                </c:pt>
                <c:pt idx="15">
                  <c:v>2.0574367766823833E-2</c:v>
                </c:pt>
                <c:pt idx="16">
                  <c:v>2.0574367766823833E-2</c:v>
                </c:pt>
                <c:pt idx="17">
                  <c:v>2.0574367766823833E-2</c:v>
                </c:pt>
                <c:pt idx="18">
                  <c:v>2.0574367766823833E-2</c:v>
                </c:pt>
                <c:pt idx="19">
                  <c:v>2.0574367766823833E-2</c:v>
                </c:pt>
                <c:pt idx="20">
                  <c:v>2.0574367766823833E-2</c:v>
                </c:pt>
                <c:pt idx="21">
                  <c:v>2.0574367766823833E-2</c:v>
                </c:pt>
                <c:pt idx="22">
                  <c:v>2.0574367766823833E-2</c:v>
                </c:pt>
                <c:pt idx="23">
                  <c:v>2.0574367766823833E-2</c:v>
                </c:pt>
                <c:pt idx="24">
                  <c:v>2.0574367766823833E-2</c:v>
                </c:pt>
                <c:pt idx="25">
                  <c:v>2.0574367766823833E-2</c:v>
                </c:pt>
                <c:pt idx="26">
                  <c:v>2.0574367766823833E-2</c:v>
                </c:pt>
                <c:pt idx="27">
                  <c:v>2.0574367766823833E-2</c:v>
                </c:pt>
                <c:pt idx="28">
                  <c:v>2.0574367766823833E-2</c:v>
                </c:pt>
                <c:pt idx="29">
                  <c:v>2.0574367766823833E-2</c:v>
                </c:pt>
                <c:pt idx="30">
                  <c:v>2.0574367766823833E-2</c:v>
                </c:pt>
                <c:pt idx="31">
                  <c:v>2.0574367766823833E-2</c:v>
                </c:pt>
                <c:pt idx="32">
                  <c:v>2.0574367766823833E-2</c:v>
                </c:pt>
                <c:pt idx="33">
                  <c:v>2.0574367766823833E-2</c:v>
                </c:pt>
                <c:pt idx="34">
                  <c:v>2.0574367766823833E-2</c:v>
                </c:pt>
                <c:pt idx="35">
                  <c:v>2.0574367766823833E-2</c:v>
                </c:pt>
                <c:pt idx="36">
                  <c:v>2.0574367766823833E-2</c:v>
                </c:pt>
                <c:pt idx="37">
                  <c:v>2.0574367766823833E-2</c:v>
                </c:pt>
                <c:pt idx="38">
                  <c:v>2.0574367766823833E-2</c:v>
                </c:pt>
                <c:pt idx="39">
                  <c:v>2.0574367766823833E-2</c:v>
                </c:pt>
                <c:pt idx="40">
                  <c:v>2.0574367766823833E-2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34-4AC1-8E4A-659B0525F28D}"/>
            </c:ext>
          </c:extLst>
        </c:ser>
        <c:ser>
          <c:idx val="5"/>
          <c:order val="5"/>
          <c:tx>
            <c:strRef>
              <c:f>'Baseline scenario'!$A$82</c:f>
              <c:strCache>
                <c:ptCount val="1"/>
                <c:pt idx="0">
                  <c:v>Biogas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scenario'!$C$82:$AQ$82</c:f>
              <c:numCache>
                <c:formatCode>0.0%</c:formatCode>
                <c:ptCount val="41"/>
                <c:pt idx="0">
                  <c:v>6.3596510362809718E-5</c:v>
                </c:pt>
                <c:pt idx="1">
                  <c:v>6.4009367899010779E-5</c:v>
                </c:pt>
                <c:pt idx="2">
                  <c:v>6.3338754550117587E-5</c:v>
                </c:pt>
                <c:pt idx="3">
                  <c:v>6.4837385729375703E-5</c:v>
                </c:pt>
                <c:pt idx="4">
                  <c:v>6.461186088329779E-5</c:v>
                </c:pt>
                <c:pt idx="5">
                  <c:v>6.2981988363731257E-5</c:v>
                </c:pt>
                <c:pt idx="6">
                  <c:v>6.1624327670697208E-5</c:v>
                </c:pt>
                <c:pt idx="7">
                  <c:v>5.9519350886720786E-5</c:v>
                </c:pt>
                <c:pt idx="8">
                  <c:v>5.7507629204772503E-5</c:v>
                </c:pt>
                <c:pt idx="9">
                  <c:v>6.1977978283168905E-3</c:v>
                </c:pt>
                <c:pt idx="10">
                  <c:v>1.0623486682808716E-2</c:v>
                </c:pt>
                <c:pt idx="11" formatCode="0.00%">
                  <c:v>1.4144877839691386E-2</c:v>
                </c:pt>
                <c:pt idx="12">
                  <c:v>1.42863266180883E-2</c:v>
                </c:pt>
                <c:pt idx="13">
                  <c:v>1.4429189884269182E-2</c:v>
                </c:pt>
                <c:pt idx="14">
                  <c:v>1.4573481783111875E-2</c:v>
                </c:pt>
                <c:pt idx="15">
                  <c:v>1.4719216600942994E-2</c:v>
                </c:pt>
                <c:pt idx="16">
                  <c:v>1.4866408766952423E-2</c:v>
                </c:pt>
                <c:pt idx="17">
                  <c:v>1.5015072854621947E-2</c:v>
                </c:pt>
                <c:pt idx="18">
                  <c:v>1.5165223583168167E-2</c:v>
                </c:pt>
                <c:pt idx="19">
                  <c:v>1.5316875818999848E-2</c:v>
                </c:pt>
                <c:pt idx="20">
                  <c:v>1.5470044577189847E-2</c:v>
                </c:pt>
                <c:pt idx="21">
                  <c:v>1.5624745022961746E-2</c:v>
                </c:pt>
                <c:pt idx="22">
                  <c:v>1.5780992473191365E-2</c:v>
                </c:pt>
                <c:pt idx="23">
                  <c:v>1.593880239792328E-2</c:v>
                </c:pt>
                <c:pt idx="24">
                  <c:v>1.6098190421902511E-2</c:v>
                </c:pt>
                <c:pt idx="25">
                  <c:v>1.6259172326121535E-2</c:v>
                </c:pt>
                <c:pt idx="26">
                  <c:v>1.642176404938275E-2</c:v>
                </c:pt>
                <c:pt idx="27">
                  <c:v>1.6585981689876579E-2</c:v>
                </c:pt>
                <c:pt idx="28">
                  <c:v>1.6751841506775344E-2</c:v>
                </c:pt>
                <c:pt idx="29">
                  <c:v>1.6919359921843097E-2</c:v>
                </c:pt>
                <c:pt idx="30">
                  <c:v>1.7088553521061527E-2</c:v>
                </c:pt>
                <c:pt idx="31">
                  <c:v>1.7259439056272141E-2</c:v>
                </c:pt>
                <c:pt idx="32">
                  <c:v>1.7432033446834864E-2</c:v>
                </c:pt>
                <c:pt idx="33">
                  <c:v>1.7606353781303211E-2</c:v>
                </c:pt>
                <c:pt idx="34">
                  <c:v>1.7782417319116242E-2</c:v>
                </c:pt>
                <c:pt idx="35">
                  <c:v>1.7960241492307405E-2</c:v>
                </c:pt>
                <c:pt idx="36">
                  <c:v>1.8139843907230477E-2</c:v>
                </c:pt>
                <c:pt idx="37">
                  <c:v>1.8321242346302783E-2</c:v>
                </c:pt>
                <c:pt idx="38">
                  <c:v>1.850445476976581E-2</c:v>
                </c:pt>
                <c:pt idx="39">
                  <c:v>1.8689499317463467E-2</c:v>
                </c:pt>
                <c:pt idx="40">
                  <c:v>1.8876394310638103E-2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F34-4AC1-8E4A-659B0525F28D}"/>
            </c:ext>
          </c:extLst>
        </c:ser>
        <c:ser>
          <c:idx val="6"/>
          <c:order val="6"/>
          <c:tx>
            <c:strRef>
              <c:f>'Baseline scenario'!$A$83</c:f>
              <c:strCache>
                <c:ptCount val="1"/>
                <c:pt idx="0">
                  <c:v>Bioethanol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scenario'!$C$83:$AQ$83</c:f>
              <c:numCache>
                <c:formatCode>0.0%</c:formatCode>
                <c:ptCount val="41"/>
                <c:pt idx="0">
                  <c:v>5.3253173917402344E-3</c:v>
                </c:pt>
                <c:pt idx="1">
                  <c:v>5.3598884303915663E-3</c:v>
                </c:pt>
                <c:pt idx="2">
                  <c:v>5.3037339510086465E-3</c:v>
                </c:pt>
                <c:pt idx="3">
                  <c:v>4.0719174985762528E-3</c:v>
                </c:pt>
                <c:pt idx="4">
                  <c:v>6.7629234786547796E-3</c:v>
                </c:pt>
                <c:pt idx="5">
                  <c:v>3.9553948332190503E-3</c:v>
                </c:pt>
                <c:pt idx="6">
                  <c:v>2.4649731068278878E-3</c:v>
                </c:pt>
                <c:pt idx="7">
                  <c:v>1.1903870177344155E-3</c:v>
                </c:pt>
                <c:pt idx="8">
                  <c:v>5.8945319934891804E-3</c:v>
                </c:pt>
                <c:pt idx="9">
                  <c:v>8.8662941155088857E-3</c:v>
                </c:pt>
                <c:pt idx="10">
                  <c:v>7.8389830508474555E-3</c:v>
                </c:pt>
                <c:pt idx="11" formatCode="0.00%">
                  <c:v>5.0578654093441922E-3</c:v>
                </c:pt>
                <c:pt idx="12">
                  <c:v>4.9061294470638664E-3</c:v>
                </c:pt>
                <c:pt idx="13">
                  <c:v>4.7589455636519503E-3</c:v>
                </c:pt>
                <c:pt idx="14">
                  <c:v>4.6161771967423914E-3</c:v>
                </c:pt>
                <c:pt idx="15">
                  <c:v>4.4776918808401194E-3</c:v>
                </c:pt>
                <c:pt idx="16">
                  <c:v>4.3433611244149154E-3</c:v>
                </c:pt>
                <c:pt idx="17">
                  <c:v>4.2130602906824679E-3</c:v>
                </c:pt>
                <c:pt idx="18">
                  <c:v>4.0866684819619937E-3</c:v>
                </c:pt>
                <c:pt idx="19">
                  <c:v>3.9640684275031339E-3</c:v>
                </c:pt>
                <c:pt idx="20">
                  <c:v>3.8451463746780397E-3</c:v>
                </c:pt>
                <c:pt idx="21">
                  <c:v>3.7297919834376986E-3</c:v>
                </c:pt>
                <c:pt idx="22">
                  <c:v>3.6178982239345675E-3</c:v>
                </c:pt>
                <c:pt idx="23">
                  <c:v>3.5093612772165305E-3</c:v>
                </c:pt>
                <c:pt idx="24">
                  <c:v>3.4040804389000342E-3</c:v>
                </c:pt>
                <c:pt idx="25">
                  <c:v>3.3019580257330331E-3</c:v>
                </c:pt>
                <c:pt idx="26">
                  <c:v>3.2028992849610421E-3</c:v>
                </c:pt>
                <c:pt idx="27">
                  <c:v>3.1068123064122107E-3</c:v>
                </c:pt>
                <c:pt idx="28">
                  <c:v>3.0136079372198444E-3</c:v>
                </c:pt>
                <c:pt idx="29">
                  <c:v>2.9231996991032488E-3</c:v>
                </c:pt>
                <c:pt idx="30">
                  <c:v>2.8355037081301514E-3</c:v>
                </c:pt>
                <c:pt idx="31">
                  <c:v>2.7504385968862466E-3</c:v>
                </c:pt>
                <c:pt idx="32">
                  <c:v>2.6679254389796593E-3</c:v>
                </c:pt>
                <c:pt idx="33">
                  <c:v>2.5878876758102694E-3</c:v>
                </c:pt>
                <c:pt idx="34">
                  <c:v>2.5102510455359611E-3</c:v>
                </c:pt>
                <c:pt idx="35">
                  <c:v>2.4349435141698822E-3</c:v>
                </c:pt>
                <c:pt idx="36">
                  <c:v>2.3618952087447855E-3</c:v>
                </c:pt>
                <c:pt idx="37">
                  <c:v>2.2910383524824417E-3</c:v>
                </c:pt>
                <c:pt idx="38">
                  <c:v>2.2223072019079684E-3</c:v>
                </c:pt>
                <c:pt idx="39">
                  <c:v>2.1556379858507294E-3</c:v>
                </c:pt>
                <c:pt idx="40">
                  <c:v>2.0909688462752074E-3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F34-4AC1-8E4A-659B0525F28D}"/>
            </c:ext>
          </c:extLst>
        </c:ser>
        <c:ser>
          <c:idx val="7"/>
          <c:order val="7"/>
          <c:tx>
            <c:strRef>
              <c:f>'Baseline scenario'!$A$84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scenario'!$C$84:$AQ$84</c:f>
              <c:numCache>
                <c:formatCode>0.0%</c:formatCode>
                <c:ptCount val="41"/>
                <c:pt idx="0">
                  <c:v>4.3245627046710608E-3</c:v>
                </c:pt>
                <c:pt idx="1">
                  <c:v>8.6412646663664534E-4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1.8748595529317045E-3</c:v>
                </c:pt>
                <c:pt idx="8">
                  <c:v>1.5124506480855168E-2</c:v>
                </c:pt>
                <c:pt idx="9">
                  <c:v>2.404516009319238E-2</c:v>
                </c:pt>
                <c:pt idx="10">
                  <c:v>4.149515738498788E-2</c:v>
                </c:pt>
                <c:pt idx="11" formatCode="0.00%">
                  <c:v>4.4692098871267329E-2</c:v>
                </c:pt>
                <c:pt idx="12">
                  <c:v>4.4915559365623657E-2</c:v>
                </c:pt>
                <c:pt idx="13">
                  <c:v>4.5140137162451771E-2</c:v>
                </c:pt>
                <c:pt idx="14">
                  <c:v>4.5365837848264028E-2</c:v>
                </c:pt>
                <c:pt idx="15">
                  <c:v>4.5592667037505342E-2</c:v>
                </c:pt>
                <c:pt idx="16">
                  <c:v>4.5820630372692864E-2</c:v>
                </c:pt>
                <c:pt idx="17">
                  <c:v>4.6049733524556324E-2</c:v>
                </c:pt>
                <c:pt idx="18">
                  <c:v>4.6279982192179103E-2</c:v>
                </c:pt>
                <c:pt idx="19">
                  <c:v>4.6511382103139993E-2</c:v>
                </c:pt>
                <c:pt idx="20">
                  <c:v>4.6743939013655686E-2</c:v>
                </c:pt>
                <c:pt idx="21">
                  <c:v>4.697765870872396E-2</c:v>
                </c:pt>
                <c:pt idx="22">
                  <c:v>4.7212547002267576E-2</c:v>
                </c:pt>
                <c:pt idx="23">
                  <c:v>4.7448609737278907E-2</c:v>
                </c:pt>
                <c:pt idx="24">
                  <c:v>4.7685852785965294E-2</c:v>
                </c:pt>
                <c:pt idx="25">
                  <c:v>4.7924282049895114E-2</c:v>
                </c:pt>
                <c:pt idx="26">
                  <c:v>4.8163903460144583E-2</c:v>
                </c:pt>
                <c:pt idx="27">
                  <c:v>4.8404722977445303E-2</c:v>
                </c:pt>
                <c:pt idx="28">
                  <c:v>4.8646746592332521E-2</c:v>
                </c:pt>
                <c:pt idx="29">
                  <c:v>4.888998032529418E-2</c:v>
                </c:pt>
                <c:pt idx="30">
                  <c:v>4.9134430226920649E-2</c:v>
                </c:pt>
                <c:pt idx="31">
                  <c:v>4.9380102378055249E-2</c:v>
                </c:pt>
                <c:pt idx="32">
                  <c:v>4.9627002889945517E-2</c:v>
                </c:pt>
                <c:pt idx="33">
                  <c:v>4.9875137904395239E-2</c:v>
                </c:pt>
                <c:pt idx="34">
                  <c:v>5.012451359391721E-2</c:v>
                </c:pt>
                <c:pt idx="35">
                  <c:v>5.037513616188679E-2</c:v>
                </c:pt>
                <c:pt idx="36">
                  <c:v>5.0627011842696218E-2</c:v>
                </c:pt>
                <c:pt idx="37">
                  <c:v>5.0880146901909694E-2</c:v>
                </c:pt>
                <c:pt idx="38">
                  <c:v>5.1134547636419239E-2</c:v>
                </c:pt>
                <c:pt idx="39">
                  <c:v>5.1390220374601329E-2</c:v>
                </c:pt>
                <c:pt idx="40">
                  <c:v>5.1647171476474331E-2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F34-4AC1-8E4A-659B0525F28D}"/>
            </c:ext>
          </c:extLst>
        </c:ser>
        <c:ser>
          <c:idx val="8"/>
          <c:order val="8"/>
          <c:tx>
            <c:strRef>
              <c:f>'Baseline scenario'!$A$85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'Baseline scenario'!$C$76:$AQ$76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scenario'!$C$85:$AQ$85</c:f>
              <c:numCache>
                <c:formatCode>0.0%</c:formatCode>
                <c:ptCount val="41"/>
                <c:pt idx="0">
                  <c:v>4.2418872411994083E-3</c:v>
                </c:pt>
                <c:pt idx="1">
                  <c:v>3.9173733154194597E-3</c:v>
                </c:pt>
                <c:pt idx="2">
                  <c:v>3.8763317784671963E-3</c:v>
                </c:pt>
                <c:pt idx="3">
                  <c:v>4.2014625952635455E-3</c:v>
                </c:pt>
                <c:pt idx="4">
                  <c:v>2.9075337397484005E-3</c:v>
                </c:pt>
                <c:pt idx="5">
                  <c:v>2.6074543182584738E-3</c:v>
                </c:pt>
                <c:pt idx="6">
                  <c:v>2.551247165566864E-3</c:v>
                </c:pt>
                <c:pt idx="7">
                  <c:v>3.1069101162868248E-3</c:v>
                </c:pt>
                <c:pt idx="8">
                  <c:v>2.7948707793519433E-3</c:v>
                </c:pt>
                <c:pt idx="9">
                  <c:v>2.995602283686497E-3</c:v>
                </c:pt>
                <c:pt idx="10">
                  <c:v>2.8147699757869247E-3</c:v>
                </c:pt>
                <c:pt idx="11" formatCode="0.00%">
                  <c:v>3.0861551650235752E-3</c:v>
                </c:pt>
                <c:pt idx="12" formatCode="0.00%">
                  <c:v>6.7455350764397126E-3</c:v>
                </c:pt>
                <c:pt idx="13" formatCode="0.00%">
                  <c:v>1.0166358051150182E-2</c:v>
                </c:pt>
                <c:pt idx="14" formatCode="0.00%">
                  <c:v>1.3355108629804602E-2</c:v>
                </c:pt>
                <c:pt idx="15" formatCode="0.00%">
                  <c:v>1.6318073173096415E-2</c:v>
                </c:pt>
                <c:pt idx="16" formatCode="0.00%">
                  <c:v>1.906134578611729E-2</c:v>
                </c:pt>
                <c:pt idx="17" formatCode="0.00%">
                  <c:v>2.1590834064841746E-2</c:v>
                </c:pt>
                <c:pt idx="18" formatCode="0.00%">
                  <c:v>2.3912264670085892E-2</c:v>
                </c:pt>
                <c:pt idx="19" formatCode="0.00%">
                  <c:v>2.6031188734111255E-2</c:v>
                </c:pt>
                <c:pt idx="20" formatCode="0.00%">
                  <c:v>2.7952987104893134E-2</c:v>
                </c:pt>
                <c:pt idx="21" formatCode="0.00%">
                  <c:v>2.9682875432925027E-2</c:v>
                </c:pt>
                <c:pt idx="22" formatCode="0.00%">
                  <c:v>3.1225909105279892E-2</c:v>
                </c:pt>
                <c:pt idx="23" formatCode="0.00%">
                  <c:v>3.258698803150939E-2</c:v>
                </c:pt>
                <c:pt idx="24" formatCode="0.00%">
                  <c:v>3.3770861285827847E-2</c:v>
                </c:pt>
                <c:pt idx="25" formatCode="0.00%">
                  <c:v>3.4782131609886857E-2</c:v>
                </c:pt>
                <c:pt idx="26" formatCode="0.00%">
                  <c:v>3.5625259780326046E-2</c:v>
                </c:pt>
                <c:pt idx="27" formatCode="0.00%">
                  <c:v>3.6304568845153984E-2</c:v>
                </c:pt>
                <c:pt idx="28" formatCode="0.00%">
                  <c:v>3.6824248232891654E-2</c:v>
                </c:pt>
                <c:pt idx="29" formatCode="0.00%">
                  <c:v>3.7188357738298095E-2</c:v>
                </c:pt>
                <c:pt idx="30" formatCode="0.00%">
                  <c:v>3.7400831388376243E-2</c:v>
                </c:pt>
                <c:pt idx="31" formatCode="0.00%">
                  <c:v>3.7465481192252126E-2</c:v>
                </c:pt>
                <c:pt idx="32" formatCode="0.00%">
                  <c:v>3.738600077840859E-2</c:v>
                </c:pt>
                <c:pt idx="33" formatCode="0.00%">
                  <c:v>3.7165968922651893E-2</c:v>
                </c:pt>
                <c:pt idx="34" formatCode="0.00%">
                  <c:v>3.6808852970090178E-2</c:v>
                </c:pt>
                <c:pt idx="35" formatCode="0.00%">
                  <c:v>3.6318012154297641E-2</c:v>
                </c:pt>
                <c:pt idx="36" formatCode="0.00%">
                  <c:v>3.5696700816755134E-2</c:v>
                </c:pt>
                <c:pt idx="37" formatCode="0.00%">
                  <c:v>3.4948071529549152E-2</c:v>
                </c:pt>
                <c:pt idx="38" formatCode="0.00%">
                  <c:v>3.407517812423777E-2</c:v>
                </c:pt>
                <c:pt idx="39" formatCode="0.00%">
                  <c:v>3.3080978629692726E-2</c:v>
                </c:pt>
                <c:pt idx="40" formatCode="0.00%">
                  <c:v>3.196833812164912E-2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34-4AC1-8E4A-659B0525F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3527"/>
        <c:axId val="1912004999"/>
      </c:lineChart>
      <c:catAx>
        <c:axId val="430893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2004999"/>
        <c:crosses val="autoZero"/>
        <c:auto val="1"/>
        <c:lblAlgn val="ctr"/>
        <c:lblOffset val="100"/>
        <c:noMultiLvlLbl val="0"/>
      </c:catAx>
      <c:valAx>
        <c:axId val="1912004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30893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 energy use in Household and Service Sector, in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'Baseline scenario'!$B$145</c:f>
              <c:strCache>
                <c:ptCount val="1"/>
                <c:pt idx="0">
                  <c:v>Heat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'Baseline scenario'!$C$144:$I$144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scenario'!$C$145:$I$145</c:f>
              <c:numCache>
                <c:formatCode>0.00</c:formatCode>
                <c:ptCount val="7"/>
                <c:pt idx="0">
                  <c:v>11.683317625777775</c:v>
                </c:pt>
                <c:pt idx="1">
                  <c:v>11.383247010021771</c:v>
                </c:pt>
                <c:pt idx="2">
                  <c:v>11.130594798437214</c:v>
                </c:pt>
                <c:pt idx="3">
                  <c:v>10.909554856300296</c:v>
                </c:pt>
                <c:pt idx="4">
                  <c:v>10.688514914163511</c:v>
                </c:pt>
                <c:pt idx="5">
                  <c:v>10.46747497202662</c:v>
                </c:pt>
                <c:pt idx="6">
                  <c:v>10.246435029889707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7-4465-A030-DA0878A0277E}"/>
            </c:ext>
          </c:extLst>
        </c:ser>
        <c:ser>
          <c:idx val="1"/>
          <c:order val="1"/>
          <c:tx>
            <c:strRef>
              <c:f>'Baseline scenario'!$B$146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'Baseline scenario'!$C$144:$I$144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scenario'!$C$146:$I$146</c:f>
              <c:numCache>
                <c:formatCode>0.00</c:formatCode>
                <c:ptCount val="7"/>
                <c:pt idx="0">
                  <c:v>4.8212952053015936</c:v>
                </c:pt>
                <c:pt idx="1">
                  <c:v>4.9214093260995497</c:v>
                </c:pt>
                <c:pt idx="2">
                  <c:v>5.0250671278888603</c:v>
                </c:pt>
                <c:pt idx="3">
                  <c:v>5.1311176182103271</c:v>
                </c:pt>
                <c:pt idx="4">
                  <c:v>5.2372588121454182</c:v>
                </c:pt>
                <c:pt idx="5">
                  <c:v>5.343490709694132</c:v>
                </c:pt>
                <c:pt idx="6">
                  <c:v>5.4498133108564861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7-4465-A030-DA0878A0277E}"/>
            </c:ext>
          </c:extLst>
        </c:ser>
        <c:ser>
          <c:idx val="2"/>
          <c:order val="2"/>
          <c:tx>
            <c:strRef>
              <c:f>'Baseline scenario'!$B$147</c:f>
              <c:strCache>
                <c:ptCount val="1"/>
                <c:pt idx="0">
                  <c:v>Total energy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'Baseline scenario'!$C$144:$I$144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scenario'!$C$147:$I$147</c:f>
              <c:numCache>
                <c:formatCode>0.00</c:formatCode>
                <c:ptCount val="7"/>
                <c:pt idx="0">
                  <c:v>16.50461283107937</c:v>
                </c:pt>
                <c:pt idx="1">
                  <c:v>16.304656336121319</c:v>
                </c:pt>
                <c:pt idx="2">
                  <c:v>16.155661926326076</c:v>
                </c:pt>
                <c:pt idx="3">
                  <c:v>16.040672474510622</c:v>
                </c:pt>
                <c:pt idx="4">
                  <c:v>15.925773726308929</c:v>
                </c:pt>
                <c:pt idx="5">
                  <c:v>15.810965681720752</c:v>
                </c:pt>
                <c:pt idx="6">
                  <c:v>15.696248340746191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7-4465-A030-DA0878A0277E}"/>
            </c:ext>
          </c:extLst>
        </c:ser>
        <c:ser>
          <c:idx val="3"/>
          <c:order val="3"/>
          <c:tx>
            <c:strRef>
              <c:f>'Baseline scenario'!$B$148</c:f>
              <c:strCache>
                <c:ptCount val="1"/>
                <c:pt idx="0">
                  <c:v>PV export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'Baseline scenario'!$C$144:$I$144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scenario'!$C$148:$I$148</c:f>
              <c:numCache>
                <c:formatCode>0.00</c:formatCode>
                <c:ptCount val="7"/>
                <c:pt idx="0">
                  <c:v>-1.3248371189427146E-2</c:v>
                </c:pt>
                <c:pt idx="1">
                  <c:v>-5.745938617261534E-2</c:v>
                </c:pt>
                <c:pt idx="2">
                  <c:v>-0.11972044354969023</c:v>
                </c:pt>
                <c:pt idx="3">
                  <c:v>-0.19360192842768975</c:v>
                </c:pt>
                <c:pt idx="4">
                  <c:v>-0.23649560663655694</c:v>
                </c:pt>
                <c:pt idx="5">
                  <c:v>-0.29488318817998993</c:v>
                </c:pt>
                <c:pt idx="6">
                  <c:v>-0.35327076972342331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97-4465-A030-DA0878A02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45311"/>
        <c:axId val="978341951"/>
      </c:lineChart>
      <c:catAx>
        <c:axId val="978345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8341951"/>
        <c:crosses val="autoZero"/>
        <c:auto val="1"/>
        <c:lblAlgn val="ctr"/>
        <c:lblOffset val="100"/>
        <c:noMultiLvlLbl val="0"/>
      </c:catAx>
      <c:valAx>
        <c:axId val="97834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8345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of D2'!$B$23</c:f>
              <c:strCache>
                <c:ptCount val="1"/>
                <c:pt idx="0">
                  <c:v>GDP at current national currency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rgbClr val="0070C0"/>
                </a:solidFill>
              </a:ln>
              <a:effectLst/>
            </c:spPr>
          </c:marker>
          <c:cat>
            <c:strRef>
              <c:f>'Figures of D2'!$C$22:$N$22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D2'!$C$23:$N$23</c:f>
              <c:numCache>
                <c:formatCode>#,##0</c:formatCode>
                <c:ptCount val="12"/>
                <c:pt idx="0">
                  <c:v>14741.1</c:v>
                </c:pt>
                <c:pt idx="1">
                  <c:v>16677.3</c:v>
                </c:pt>
                <c:pt idx="2">
                  <c:v>17916.7</c:v>
                </c:pt>
                <c:pt idx="3">
                  <c:v>18910.8</c:v>
                </c:pt>
                <c:pt idx="4">
                  <c:v>20048.2</c:v>
                </c:pt>
                <c:pt idx="5">
                  <c:v>20631.400000000001</c:v>
                </c:pt>
                <c:pt idx="6">
                  <c:v>21747.9</c:v>
                </c:pt>
                <c:pt idx="7">
                  <c:v>23833.599999999999</c:v>
                </c:pt>
                <c:pt idx="8">
                  <c:v>25932.2</c:v>
                </c:pt>
                <c:pt idx="9">
                  <c:v>27764.7</c:v>
                </c:pt>
                <c:pt idx="10">
                  <c:v>27465</c:v>
                </c:pt>
                <c:pt idx="11">
                  <c:v>31444.9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D-4669-B831-2E3EABE7CF1C}"/>
            </c:ext>
          </c:extLst>
        </c:ser>
        <c:ser>
          <c:idx val="1"/>
          <c:order val="1"/>
          <c:tx>
            <c:strRef>
              <c:f>'Figures of D2'!$B$24</c:f>
              <c:strCache>
                <c:ptCount val="1"/>
                <c:pt idx="0">
                  <c:v>VA of Industry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strRef>
              <c:f>'Figures of D2'!$C$22:$N$22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D2'!$C$24:$N$24</c:f>
              <c:numCache>
                <c:formatCode>#,##0</c:formatCode>
                <c:ptCount val="12"/>
                <c:pt idx="0">
                  <c:v>3601.1526000000003</c:v>
                </c:pt>
                <c:pt idx="1">
                  <c:v>4289.7894999999999</c:v>
                </c:pt>
                <c:pt idx="2">
                  <c:v>4526.9001999999991</c:v>
                </c:pt>
                <c:pt idx="3">
                  <c:v>4793.8828999999996</c:v>
                </c:pt>
                <c:pt idx="4">
                  <c:v>4966.4763999999996</c:v>
                </c:pt>
                <c:pt idx="5">
                  <c:v>4923.3197</c:v>
                </c:pt>
                <c:pt idx="6">
                  <c:v>5229.7999999999993</c:v>
                </c:pt>
                <c:pt idx="7">
                  <c:v>5719.7999999999993</c:v>
                </c:pt>
                <c:pt idx="8">
                  <c:v>6230.0000000000009</c:v>
                </c:pt>
                <c:pt idx="9">
                  <c:v>6371.8</c:v>
                </c:pt>
                <c:pt idx="10">
                  <c:v>6256.4000000000005</c:v>
                </c:pt>
                <c:pt idx="11">
                  <c:v>7265.8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D-4669-B831-2E3EABE7CF1C}"/>
            </c:ext>
          </c:extLst>
        </c:ser>
        <c:ser>
          <c:idx val="2"/>
          <c:order val="2"/>
          <c:tx>
            <c:strRef>
              <c:f>'Figures of D2'!$B$25</c:f>
              <c:strCache>
                <c:ptCount val="1"/>
                <c:pt idx="0">
                  <c:v>Privat consumption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cat>
            <c:strRef>
              <c:f>'Figures of D2'!$C$22:$N$22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D2'!$C$25:$N$25</c:f>
              <c:numCache>
                <c:formatCode>#,##0</c:formatCode>
                <c:ptCount val="12"/>
                <c:pt idx="0">
                  <c:v>7943.0469999999996</c:v>
                </c:pt>
                <c:pt idx="1">
                  <c:v>8609.0694999999996</c:v>
                </c:pt>
                <c:pt idx="2">
                  <c:v>9377.1087000000007</c:v>
                </c:pt>
                <c:pt idx="3">
                  <c:v>10020.5933</c:v>
                </c:pt>
                <c:pt idx="4">
                  <c:v>10488.3693</c:v>
                </c:pt>
                <c:pt idx="5">
                  <c:v>10772.8</c:v>
                </c:pt>
                <c:pt idx="6">
                  <c:v>11259</c:v>
                </c:pt>
                <c:pt idx="7">
                  <c:v>12024.9</c:v>
                </c:pt>
                <c:pt idx="8">
                  <c:v>12929.8</c:v>
                </c:pt>
                <c:pt idx="9">
                  <c:v>13726.7</c:v>
                </c:pt>
                <c:pt idx="10">
                  <c:v>13204.5</c:v>
                </c:pt>
                <c:pt idx="11">
                  <c:v>14625.5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D-4669-B831-2E3EABE7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357984"/>
        <c:axId val="118146976"/>
      </c:lineChart>
      <c:catAx>
        <c:axId val="19953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8146976"/>
        <c:crosses val="autoZero"/>
        <c:auto val="1"/>
        <c:lblAlgn val="ctr"/>
        <c:lblOffset val="100"/>
        <c:noMultiLvlLbl val="0"/>
      </c:catAx>
      <c:valAx>
        <c:axId val="1181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000" b="1"/>
                  <a:t>M</a:t>
                </a:r>
                <a:r>
                  <a:rPr lang="en-US" sz="1000" b="1">
                    <a:effectLst/>
                  </a:rPr>
                  <a:t>€</a:t>
                </a:r>
                <a:endParaRPr lang="et-EE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b="1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t-EE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95357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1509186351706"/>
          <c:y val="0.81173228346456694"/>
          <c:w val="0.87269816272965883"/>
          <c:h val="0.1604899387576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of D2'!$B$78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D2'!$D$78:$O$78</c:f>
              <c:numCache>
                <c:formatCode>0.0</c:formatCode>
                <c:ptCount val="12"/>
                <c:pt idx="0">
                  <c:v>4.300471902050429</c:v>
                </c:pt>
                <c:pt idx="1">
                  <c:v>5.0351153555839989</c:v>
                </c:pt>
                <c:pt idx="2">
                  <c:v>4.5182097544649649</c:v>
                </c:pt>
                <c:pt idx="3">
                  <c:v>4.1801172436994039</c:v>
                </c:pt>
                <c:pt idx="4">
                  <c:v>4.3334813347450387</c:v>
                </c:pt>
                <c:pt idx="5">
                  <c:v>3.9257064873681062</c:v>
                </c:pt>
                <c:pt idx="6">
                  <c:v>2.923240300908704</c:v>
                </c:pt>
                <c:pt idx="7">
                  <c:v>3.2623722902002625</c:v>
                </c:pt>
                <c:pt idx="8">
                  <c:v>2.8418866182703204</c:v>
                </c:pt>
                <c:pt idx="9">
                  <c:v>3.2216173993702255</c:v>
                </c:pt>
                <c:pt idx="10">
                  <c:v>2.7347297566377065</c:v>
                </c:pt>
                <c:pt idx="11">
                  <c:v>2.6961657925556293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1-4976-BD72-1AC704BDA0C2}"/>
            </c:ext>
          </c:extLst>
        </c:ser>
        <c:ser>
          <c:idx val="1"/>
          <c:order val="1"/>
          <c:tx>
            <c:strRef>
              <c:f>'Figures of D2'!$B$79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D2'!$D$79:$O$79</c:f>
              <c:numCache>
                <c:formatCode>0.0</c:formatCode>
                <c:ptCount val="12"/>
                <c:pt idx="0">
                  <c:v>1.6502773459419187</c:v>
                </c:pt>
                <c:pt idx="1">
                  <c:v>1.6737225558727971</c:v>
                </c:pt>
                <c:pt idx="2">
                  <c:v>1.5479051936592936</c:v>
                </c:pt>
                <c:pt idx="3">
                  <c:v>1.8266539736165888</c:v>
                </c:pt>
                <c:pt idx="4">
                  <c:v>1.8484237849653338</c:v>
                </c:pt>
                <c:pt idx="5">
                  <c:v>1.6503012348966482</c:v>
                </c:pt>
                <c:pt idx="6">
                  <c:v>1.2985113540255762</c:v>
                </c:pt>
                <c:pt idx="7">
                  <c:v>1.4668341737369563</c:v>
                </c:pt>
                <c:pt idx="8">
                  <c:v>1.2829927405480259</c:v>
                </c:pt>
                <c:pt idx="9">
                  <c:v>1.0774525837869506</c:v>
                </c:pt>
                <c:pt idx="10">
                  <c:v>0.89457862044515268</c:v>
                </c:pt>
                <c:pt idx="11">
                  <c:v>0.87792996927881595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1-4976-BD72-1AC704BDA0C2}"/>
            </c:ext>
          </c:extLst>
        </c:ser>
        <c:ser>
          <c:idx val="2"/>
          <c:order val="2"/>
          <c:tx>
            <c:strRef>
              <c:f>'Figures of D2'!$B$80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D2'!$D$80:$O$80</c:f>
              <c:numCache>
                <c:formatCode>0.0</c:formatCode>
                <c:ptCount val="12"/>
                <c:pt idx="0">
                  <c:v>4.5966755282451324</c:v>
                </c:pt>
                <c:pt idx="1">
                  <c:v>4.1490269436513412</c:v>
                </c:pt>
                <c:pt idx="2">
                  <c:v>3.9560957799616641</c:v>
                </c:pt>
                <c:pt idx="3">
                  <c:v>4.6174548525864481</c:v>
                </c:pt>
                <c:pt idx="4">
                  <c:v>4.304791830322074</c:v>
                </c:pt>
                <c:pt idx="5">
                  <c:v>3.7532869553639778</c:v>
                </c:pt>
                <c:pt idx="6">
                  <c:v>3.9336881665045125</c:v>
                </c:pt>
                <c:pt idx="7">
                  <c:v>3.8084912316932549</c:v>
                </c:pt>
                <c:pt idx="8">
                  <c:v>3.9260836725273811</c:v>
                </c:pt>
                <c:pt idx="9">
                  <c:v>3.2250347840945155</c:v>
                </c:pt>
                <c:pt idx="10">
                  <c:v>3.3277159105809915</c:v>
                </c:pt>
                <c:pt idx="11">
                  <c:v>3.6292581088650135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1-4976-BD72-1AC704BDA0C2}"/>
            </c:ext>
          </c:extLst>
        </c:ser>
        <c:ser>
          <c:idx val="3"/>
          <c:order val="3"/>
          <c:tx>
            <c:strRef>
              <c:f>'Figures of D2'!$B$81</c:f>
              <c:strCache>
                <c:ptCount val="1"/>
                <c:pt idx="0">
                  <c:v>D+E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D2'!$D$81:$O$81</c:f>
              <c:numCache>
                <c:formatCode>0.0</c:formatCode>
                <c:ptCount val="12"/>
                <c:pt idx="0">
                  <c:v>1.2952009493234233</c:v>
                </c:pt>
                <c:pt idx="1">
                  <c:v>1.1076105149158217</c:v>
                </c:pt>
                <c:pt idx="2">
                  <c:v>1.0580521495725197</c:v>
                </c:pt>
                <c:pt idx="3">
                  <c:v>0.94983143534060077</c:v>
                </c:pt>
                <c:pt idx="4">
                  <c:v>0.97954165101267132</c:v>
                </c:pt>
                <c:pt idx="5">
                  <c:v>0.95929168192257774</c:v>
                </c:pt>
                <c:pt idx="6">
                  <c:v>1.0015452412293255</c:v>
                </c:pt>
                <c:pt idx="7">
                  <c:v>1.0124999282932061</c:v>
                </c:pt>
                <c:pt idx="8">
                  <c:v>0.95254080819101183</c:v>
                </c:pt>
                <c:pt idx="9">
                  <c:v>0.89877218248834445</c:v>
                </c:pt>
                <c:pt idx="10">
                  <c:v>1.0213348744821693</c:v>
                </c:pt>
                <c:pt idx="11">
                  <c:v>1.5207834750581326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1-4976-BD72-1AC704BDA0C2}"/>
            </c:ext>
          </c:extLst>
        </c:ser>
        <c:ser>
          <c:idx val="4"/>
          <c:order val="4"/>
          <c:tx>
            <c:strRef>
              <c:f>'Figures of D2'!$B$82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D2'!$D$82:$O$82</c:f>
              <c:numCache>
                <c:formatCode>0.0</c:formatCode>
                <c:ptCount val="12"/>
                <c:pt idx="0">
                  <c:v>6.9028323321896083</c:v>
                </c:pt>
                <c:pt idx="1">
                  <c:v>8.2759016770043647</c:v>
                </c:pt>
                <c:pt idx="2">
                  <c:v>8.780844007667266</c:v>
                </c:pt>
                <c:pt idx="3">
                  <c:v>8.3287404533709353</c:v>
                </c:pt>
                <c:pt idx="4">
                  <c:v>7.3711533863861458</c:v>
                </c:pt>
                <c:pt idx="5">
                  <c:v>7.3128515794028557</c:v>
                </c:pt>
                <c:pt idx="6">
                  <c:v>7.8184118989933689</c:v>
                </c:pt>
                <c:pt idx="7">
                  <c:v>7.9147090711962402</c:v>
                </c:pt>
                <c:pt idx="8">
                  <c:v>8.1920607611934049</c:v>
                </c:pt>
                <c:pt idx="9">
                  <c:v>8.1519271608855917</c:v>
                </c:pt>
                <c:pt idx="10">
                  <c:v>8.022068215262232</c:v>
                </c:pt>
                <c:pt idx="11">
                  <c:v>7.8322046268479388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91-4976-BD72-1AC704BDA0C2}"/>
            </c:ext>
          </c:extLst>
        </c:ser>
        <c:ser>
          <c:idx val="5"/>
          <c:order val="5"/>
          <c:tx>
            <c:strRef>
              <c:f>'Figures of D2'!$B$83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D2'!$D$83:$O$83</c:f>
              <c:numCache>
                <c:formatCode>0.0</c:formatCode>
                <c:ptCount val="12"/>
                <c:pt idx="0">
                  <c:v>13.764269747674989</c:v>
                </c:pt>
                <c:pt idx="1">
                  <c:v>14.374323126907552</c:v>
                </c:pt>
                <c:pt idx="2">
                  <c:v>14.776979949493414</c:v>
                </c:pt>
                <c:pt idx="3">
                  <c:v>14.474371729809819</c:v>
                </c:pt>
                <c:pt idx="4">
                  <c:v>14.95269647187404</c:v>
                </c:pt>
                <c:pt idx="5">
                  <c:v>14.266884132743069</c:v>
                </c:pt>
                <c:pt idx="6">
                  <c:v>15.243836522380562</c:v>
                </c:pt>
                <c:pt idx="7">
                  <c:v>15.23167030937179</c:v>
                </c:pt>
                <c:pt idx="8">
                  <c:v>15.658700851831652</c:v>
                </c:pt>
                <c:pt idx="9">
                  <c:v>14.649351917396931</c:v>
                </c:pt>
                <c:pt idx="10">
                  <c:v>14.693041033087757</c:v>
                </c:pt>
                <c:pt idx="11">
                  <c:v>14.046879508461055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1-4976-BD72-1AC704BDA0C2}"/>
            </c:ext>
          </c:extLst>
        </c:ser>
        <c:ser>
          <c:idx val="6"/>
          <c:order val="6"/>
          <c:tx>
            <c:strRef>
              <c:f>'Figures of D2'!$B$84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D2'!$D$84:$O$84</c:f>
              <c:numCache>
                <c:formatCode>0.0</c:formatCode>
                <c:ptCount val="12"/>
                <c:pt idx="0">
                  <c:v>11.021166600741429</c:v>
                </c:pt>
                <c:pt idx="1">
                  <c:v>11.054773391093171</c:v>
                </c:pt>
                <c:pt idx="2">
                  <c:v>10.93193780996136</c:v>
                </c:pt>
                <c:pt idx="3">
                  <c:v>10.864725966115282</c:v>
                </c:pt>
                <c:pt idx="4">
                  <c:v>10.88493459476075</c:v>
                </c:pt>
                <c:pt idx="5">
                  <c:v>10.408414605731785</c:v>
                </c:pt>
                <c:pt idx="6">
                  <c:v>9.4145252675556588</c:v>
                </c:pt>
                <c:pt idx="7">
                  <c:v>9.0166990781374583</c:v>
                </c:pt>
                <c:pt idx="8">
                  <c:v>8.5246108010574488</c:v>
                </c:pt>
                <c:pt idx="9">
                  <c:v>8.0455000366148379</c:v>
                </c:pt>
                <c:pt idx="10">
                  <c:v>7.2600737226029253</c:v>
                </c:pt>
                <c:pt idx="11">
                  <c:v>7.5228711577303669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91-4976-BD72-1AC704BDA0C2}"/>
            </c:ext>
          </c:extLst>
        </c:ser>
        <c:ser>
          <c:idx val="7"/>
          <c:order val="7"/>
          <c:tx>
            <c:strRef>
              <c:f>'Figures of D2'!$B$85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D2'!$D$85:$O$85</c:f>
              <c:numCache>
                <c:formatCode>0.0</c:formatCode>
                <c:ptCount val="12"/>
                <c:pt idx="0">
                  <c:v>11.232740619451933</c:v>
                </c:pt>
                <c:pt idx="1">
                  <c:v>10.765974204981786</c:v>
                </c:pt>
                <c:pt idx="2">
                  <c:v>11.135029056500441</c:v>
                </c:pt>
                <c:pt idx="3">
                  <c:v>11.407282279595446</c:v>
                </c:pt>
                <c:pt idx="4">
                  <c:v>11.334403497387205</c:v>
                </c:pt>
                <c:pt idx="5">
                  <c:v>12.153247012615251</c:v>
                </c:pt>
                <c:pt idx="6">
                  <c:v>12.308514088403061</c:v>
                </c:pt>
                <c:pt idx="7">
                  <c:v>12.377166262240348</c:v>
                </c:pt>
                <c:pt idx="8">
                  <c:v>11.824933909613531</c:v>
                </c:pt>
                <c:pt idx="9">
                  <c:v>12.269387555837627</c:v>
                </c:pt>
                <c:pt idx="10">
                  <c:v>11.776190221799167</c:v>
                </c:pt>
                <c:pt idx="11">
                  <c:v>11.893002019790552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91-4976-BD72-1AC704BDA0C2}"/>
            </c:ext>
          </c:extLst>
        </c:ser>
        <c:ser>
          <c:idx val="8"/>
          <c:order val="8"/>
          <c:tx>
            <c:strRef>
              <c:f>'Figures of D2'!$B$86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D2'!$D$77:$O$77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D2'!$D$86:$O$86</c:f>
              <c:numCache>
                <c:formatCode>0.0</c:formatCode>
                <c:ptCount val="12"/>
                <c:pt idx="0">
                  <c:v>45.236364974381154</c:v>
                </c:pt>
                <c:pt idx="1">
                  <c:v>43.56355222998917</c:v>
                </c:pt>
                <c:pt idx="2">
                  <c:v>43.294946298719083</c:v>
                </c:pt>
                <c:pt idx="3">
                  <c:v>43.350822065865472</c:v>
                </c:pt>
                <c:pt idx="4">
                  <c:v>43.990573448546748</c:v>
                </c:pt>
                <c:pt idx="5">
                  <c:v>45.570016309955726</c:v>
                </c:pt>
                <c:pt idx="6">
                  <c:v>46.057727159999232</c:v>
                </c:pt>
                <c:pt idx="7">
                  <c:v>45.90955765513047</c:v>
                </c:pt>
                <c:pt idx="8">
                  <c:v>46.796189836767248</c:v>
                </c:pt>
                <c:pt idx="9">
                  <c:v>48.460956379524987</c:v>
                </c:pt>
                <c:pt idx="10">
                  <c:v>50.270267645101939</c:v>
                </c:pt>
                <c:pt idx="11">
                  <c:v>49.980905341412488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91-4976-BD72-1AC704BDA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17945264"/>
        <c:axId val="2050030816"/>
      </c:barChart>
      <c:catAx>
        <c:axId val="211794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50030816"/>
        <c:crossesAt val="0"/>
        <c:auto val="1"/>
        <c:lblAlgn val="ctr"/>
        <c:lblOffset val="100"/>
        <c:noMultiLvlLbl val="0"/>
      </c:catAx>
      <c:valAx>
        <c:axId val="2050030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1794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8937007874016"/>
          <c:y val="2.5428331875182269E-2"/>
          <c:w val="0.89521062992125988"/>
          <c:h val="0.74090223097112862"/>
        </c:manualLayout>
      </c:layout>
      <c:lineChart>
        <c:grouping val="standard"/>
        <c:varyColors val="0"/>
        <c:ser>
          <c:idx val="0"/>
          <c:order val="0"/>
          <c:tx>
            <c:strRef>
              <c:f>'Figures of D2'!$C$115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'Figures of D2'!$H$114:$O$114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'Figures of D2'!$H$115:$O$115</c:f>
              <c:numCache>
                <c:formatCode>0.00</c:formatCode>
                <c:ptCount val="8"/>
                <c:pt idx="0" formatCode="General">
                  <c:v>1</c:v>
                </c:pt>
                <c:pt idx="1">
                  <c:v>-0.19364365463638933</c:v>
                </c:pt>
                <c:pt idx="2">
                  <c:v>9.4997868247759243E-3</c:v>
                </c:pt>
                <c:pt idx="3">
                  <c:v>-1.3983686206074708E-2</c:v>
                </c:pt>
                <c:pt idx="4">
                  <c:v>0.2518583482986827</c:v>
                </c:pt>
                <c:pt idx="5">
                  <c:v>0.6840606496790258</c:v>
                </c:pt>
                <c:pt idx="6">
                  <c:v>0.99329771039937498</c:v>
                </c:pt>
                <c:pt idx="7">
                  <c:v>1.0828996997307314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B-4528-9E56-4FEB7B684FDB}"/>
            </c:ext>
          </c:extLst>
        </c:ser>
        <c:ser>
          <c:idx val="1"/>
          <c:order val="1"/>
          <c:tx>
            <c:strRef>
              <c:f>'Figures of D2'!$C$116</c:f>
              <c:strCache>
                <c:ptCount val="1"/>
                <c:pt idx="0">
                  <c:v>GDP (CLV)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'Figures of D2'!$H$114:$O$114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'Figures of D2'!$H$116:$O$116</c:f>
              <c:numCache>
                <c:formatCode>0.00</c:formatCode>
                <c:ptCount val="8"/>
                <c:pt idx="0" formatCode="General">
                  <c:v>1</c:v>
                </c:pt>
                <c:pt idx="1">
                  <c:v>1.8532780410742618</c:v>
                </c:pt>
                <c:pt idx="2">
                  <c:v>5.0671406003159518</c:v>
                </c:pt>
                <c:pt idx="3">
                  <c:v>11.152744865718802</c:v>
                </c:pt>
                <c:pt idx="4">
                  <c:v>15.358906003159561</c:v>
                </c:pt>
                <c:pt idx="5">
                  <c:v>19.673183254344394</c:v>
                </c:pt>
                <c:pt idx="6">
                  <c:v>19.013625592417057</c:v>
                </c:pt>
                <c:pt idx="7">
                  <c:v>28.550552922590839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B-4528-9E56-4FEB7B684FDB}"/>
            </c:ext>
          </c:extLst>
        </c:ser>
        <c:ser>
          <c:idx val="2"/>
          <c:order val="2"/>
          <c:tx>
            <c:strRef>
              <c:f>'Figures of D2'!$C$117</c:f>
              <c:strCache>
                <c:ptCount val="1"/>
                <c:pt idx="0">
                  <c:v>Primary energy</c:v>
                </c:pt>
              </c:strCache>
            </c:strRef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15875">
                <a:solidFill>
                  <a:srgbClr val="00B050"/>
                </a:solidFill>
              </a:ln>
              <a:effectLst/>
            </c:spPr>
          </c:marker>
          <c:cat>
            <c:strRef>
              <c:f>'Figures of D2'!$H$114:$O$114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'Figures of D2'!$H$117:$O$117</c:f>
              <c:numCache>
                <c:formatCode>0.00</c:formatCode>
                <c:ptCount val="8"/>
                <c:pt idx="0" formatCode="General">
                  <c:v>1</c:v>
                </c:pt>
                <c:pt idx="1">
                  <c:v>-13.319707475249245</c:v>
                </c:pt>
                <c:pt idx="2">
                  <c:v>7.9305943633791998</c:v>
                </c:pt>
                <c:pt idx="3">
                  <c:v>5.6711166304460079</c:v>
                </c:pt>
                <c:pt idx="4">
                  <c:v>1.9740246300320479</c:v>
                </c:pt>
                <c:pt idx="5">
                  <c:v>-14.627099934457888</c:v>
                </c:pt>
                <c:pt idx="6">
                  <c:v>-19.37847114422712</c:v>
                </c:pt>
                <c:pt idx="7">
                  <c:v>-17.911192176342752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5B-4528-9E56-4FEB7B684FDB}"/>
            </c:ext>
          </c:extLst>
        </c:ser>
        <c:ser>
          <c:idx val="3"/>
          <c:order val="3"/>
          <c:tx>
            <c:strRef>
              <c:f>'Figures of D2'!$C$118</c:f>
              <c:strCache>
                <c:ptCount val="1"/>
                <c:pt idx="0">
                  <c:v>Final energy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'Figures of D2'!$H$114:$O$114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'Figures of D2'!$H$118:$O$118</c:f>
              <c:numCache>
                <c:formatCode>0.00</c:formatCode>
                <c:ptCount val="8"/>
                <c:pt idx="0" formatCode="General">
                  <c:v>1</c:v>
                </c:pt>
                <c:pt idx="1">
                  <c:v>2.4581589458676945E-2</c:v>
                </c:pt>
                <c:pt idx="2">
                  <c:v>-0.63663508278190761</c:v>
                </c:pt>
                <c:pt idx="3">
                  <c:v>1.9032613317438489</c:v>
                </c:pt>
                <c:pt idx="4">
                  <c:v>2.5594854058449101</c:v>
                </c:pt>
                <c:pt idx="5">
                  <c:v>1.7543394753649295</c:v>
                </c:pt>
                <c:pt idx="6">
                  <c:v>-0.65982092703569606</c:v>
                </c:pt>
                <c:pt idx="7">
                  <c:v>-0.3223380828968061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5B-4528-9E56-4FEB7B68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852576"/>
        <c:axId val="174826944"/>
      </c:lineChart>
      <c:catAx>
        <c:axId val="20498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4826944"/>
        <c:crosses val="autoZero"/>
        <c:auto val="1"/>
        <c:lblAlgn val="ctr"/>
        <c:lblOffset val="100"/>
        <c:noMultiLvlLbl val="0"/>
      </c:catAx>
      <c:valAx>
        <c:axId val="17482694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="1"/>
                  <a:t>Index (2014=100)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49852576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7453852841413"/>
          <c:y val="0.80162309365754725"/>
          <c:w val="0.73925092294317174"/>
          <c:h val="0.13749411546253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of D2'!$C$163</c:f>
              <c:strCache>
                <c:ptCount val="1"/>
                <c:pt idx="0">
                  <c:v>Oil fuels</c:v>
                </c:pt>
              </c:strCache>
            </c:strRef>
          </c:tx>
          <c:spPr>
            <a:solidFill>
              <a:srgbClr val="0000CC"/>
            </a:solidFill>
            <a:ln>
              <a:solidFill>
                <a:srgbClr val="0000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D2'!$D$163:$O$163</c:f>
              <c:numCache>
                <c:formatCode>#,##0</c:formatCode>
                <c:ptCount val="12"/>
                <c:pt idx="0">
                  <c:v>6.5791666666666648</c:v>
                </c:pt>
                <c:pt idx="1">
                  <c:v>6.1513888888888868</c:v>
                </c:pt>
                <c:pt idx="2">
                  <c:v>5.9197222222222221</c:v>
                </c:pt>
                <c:pt idx="3">
                  <c:v>5.4325000000000001</c:v>
                </c:pt>
                <c:pt idx="4">
                  <c:v>4.7636111111111124</c:v>
                </c:pt>
                <c:pt idx="5">
                  <c:v>3.2875000000000005</c:v>
                </c:pt>
                <c:pt idx="6">
                  <c:v>4.8036111111111106</c:v>
                </c:pt>
                <c:pt idx="7">
                  <c:v>1.8772222222222226</c:v>
                </c:pt>
                <c:pt idx="8">
                  <c:v>0.80527777777777865</c:v>
                </c:pt>
                <c:pt idx="9">
                  <c:v>-0.20777777777778025</c:v>
                </c:pt>
                <c:pt idx="10">
                  <c:v>-0.51972222222222186</c:v>
                </c:pt>
                <c:pt idx="11">
                  <c:v>-1.5500000000000005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0-4285-852D-98A281500CF4}"/>
            </c:ext>
          </c:extLst>
        </c:ser>
        <c:ser>
          <c:idx val="1"/>
          <c:order val="1"/>
          <c:tx>
            <c:strRef>
              <c:f>'Figures of D2'!$C$164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D2'!$D$164:$O$164</c:f>
              <c:numCache>
                <c:formatCode>#,##0</c:formatCode>
                <c:ptCount val="12"/>
                <c:pt idx="0">
                  <c:v>48.705277777777788</c:v>
                </c:pt>
                <c:pt idx="1">
                  <c:v>48.413888888888891</c:v>
                </c:pt>
                <c:pt idx="2">
                  <c:v>40.770555555555553</c:v>
                </c:pt>
                <c:pt idx="3">
                  <c:v>49.714722222222221</c:v>
                </c:pt>
                <c:pt idx="4">
                  <c:v>47.363611111111112</c:v>
                </c:pt>
                <c:pt idx="5">
                  <c:v>38.075833333333335</c:v>
                </c:pt>
                <c:pt idx="6">
                  <c:v>50.139166666666661</c:v>
                </c:pt>
                <c:pt idx="7">
                  <c:v>51.698611111111113</c:v>
                </c:pt>
                <c:pt idx="8">
                  <c:v>48.527777777777757</c:v>
                </c:pt>
                <c:pt idx="9">
                  <c:v>34.908055555555556</c:v>
                </c:pt>
                <c:pt idx="10">
                  <c:v>29.525277777777777</c:v>
                </c:pt>
                <c:pt idx="11">
                  <c:v>32.070833333333333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0-4285-852D-98A281500CF4}"/>
            </c:ext>
          </c:extLst>
        </c:ser>
        <c:ser>
          <c:idx val="2"/>
          <c:order val="2"/>
          <c:tx>
            <c:strRef>
              <c:f>'Figures of D2'!$C$165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D2'!$D$165:$O$165</c:f>
              <c:numCache>
                <c:formatCode>#,##0</c:formatCode>
                <c:ptCount val="12"/>
                <c:pt idx="0">
                  <c:v>9.6308333333333334</c:v>
                </c:pt>
                <c:pt idx="1">
                  <c:v>9.3258333333333336</c:v>
                </c:pt>
                <c:pt idx="2">
                  <c:v>9.5430555555555543</c:v>
                </c:pt>
                <c:pt idx="3">
                  <c:v>9.3441666666666681</c:v>
                </c:pt>
                <c:pt idx="4">
                  <c:v>9.3505555555555553</c:v>
                </c:pt>
                <c:pt idx="5">
                  <c:v>9.7816666666666663</c:v>
                </c:pt>
                <c:pt idx="6">
                  <c:v>10.670555555555556</c:v>
                </c:pt>
                <c:pt idx="7">
                  <c:v>11.400277777777777</c:v>
                </c:pt>
                <c:pt idx="8">
                  <c:v>12.404722222222219</c:v>
                </c:pt>
                <c:pt idx="9">
                  <c:v>12.617777777777778</c:v>
                </c:pt>
                <c:pt idx="10">
                  <c:v>13.882777777777775</c:v>
                </c:pt>
                <c:pt idx="11">
                  <c:v>13.777500000000002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0-4285-852D-98A281500CF4}"/>
            </c:ext>
          </c:extLst>
        </c:ser>
        <c:ser>
          <c:idx val="3"/>
          <c:order val="3"/>
          <c:tx>
            <c:strRef>
              <c:f>'Figures of D2'!$C$166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D2'!$D$166:$O$166</c:f>
              <c:numCache>
                <c:formatCode>#,##0</c:formatCode>
                <c:ptCount val="12"/>
                <c:pt idx="0">
                  <c:v>6.5420029299999998</c:v>
                </c:pt>
                <c:pt idx="1">
                  <c:v>5.8532510699999998</c:v>
                </c:pt>
                <c:pt idx="2">
                  <c:v>6.3430019999999994</c:v>
                </c:pt>
                <c:pt idx="3">
                  <c:v>6.4534986299999995</c:v>
                </c:pt>
                <c:pt idx="4">
                  <c:v>5.0655046500000012</c:v>
                </c:pt>
                <c:pt idx="5">
                  <c:v>4.54100328</c:v>
                </c:pt>
                <c:pt idx="6">
                  <c:v>4.9807452100000003</c:v>
                </c:pt>
                <c:pt idx="7">
                  <c:v>4.7213888888888889</c:v>
                </c:pt>
                <c:pt idx="8">
                  <c:v>4.809005</c:v>
                </c:pt>
                <c:pt idx="9">
                  <c:v>4.4238888888888885</c:v>
                </c:pt>
                <c:pt idx="10">
                  <c:v>4.0488888888888885</c:v>
                </c:pt>
                <c:pt idx="11">
                  <c:v>4.5847222222222221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0-4285-852D-98A281500CF4}"/>
            </c:ext>
          </c:extLst>
        </c:ser>
        <c:ser>
          <c:idx val="4"/>
          <c:order val="4"/>
          <c:tx>
            <c:strRef>
              <c:f>'Figures of D2'!$C$167</c:f>
              <c:strCache>
                <c:ptCount val="1"/>
                <c:pt idx="0">
                  <c:v>Electricity from 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D2'!$D$167:$O$167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0.33666666666666667</c:v>
                </c:pt>
                <c:pt idx="6">
                  <c:v>0.33305555555555555</c:v>
                </c:pt>
                <c:pt idx="7">
                  <c:v>0.34611111111111109</c:v>
                </c:pt>
                <c:pt idx="8">
                  <c:v>0.3586111111111111</c:v>
                </c:pt>
                <c:pt idx="9">
                  <c:v>0.31888888888888883</c:v>
                </c:pt>
                <c:pt idx="10">
                  <c:v>0.35888888888888887</c:v>
                </c:pt>
                <c:pt idx="11">
                  <c:v>0.26277777777777778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10-4285-852D-98A281500CF4}"/>
            </c:ext>
          </c:extLst>
        </c:ser>
        <c:ser>
          <c:idx val="5"/>
          <c:order val="5"/>
          <c:tx>
            <c:strRef>
              <c:f>'Figures of D2'!$C$168</c:f>
              <c:strCache>
                <c:ptCount val="1"/>
                <c:pt idx="0">
                  <c:v>Wind, solar  and hydro electricity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D2'!$D$168:$O$168</c:f>
              <c:numCache>
                <c:formatCode>#,##0</c:formatCode>
                <c:ptCount val="12"/>
                <c:pt idx="0">
                  <c:v>0.3039361544444445</c:v>
                </c:pt>
                <c:pt idx="1">
                  <c:v>0.39865936999999996</c:v>
                </c:pt>
                <c:pt idx="2">
                  <c:v>0.43351988000000008</c:v>
                </c:pt>
                <c:pt idx="3">
                  <c:v>0.55459262555555566</c:v>
                </c:pt>
                <c:pt idx="4">
                  <c:v>0.63062285444444444</c:v>
                </c:pt>
                <c:pt idx="5">
                  <c:v>0.74166743666666668</c:v>
                </c:pt>
                <c:pt idx="6">
                  <c:v>0.63867925000000003</c:v>
                </c:pt>
                <c:pt idx="7">
                  <c:v>0.76360532111111101</c:v>
                </c:pt>
                <c:pt idx="8">
                  <c:v>0.68183151333333325</c:v>
                </c:pt>
                <c:pt idx="9">
                  <c:v>0.77950000000000019</c:v>
                </c:pt>
                <c:pt idx="10">
                  <c:v>0.99638888888888866</c:v>
                </c:pt>
                <c:pt idx="11">
                  <c:v>1.1097222222222223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10-4285-852D-98A281500CF4}"/>
            </c:ext>
          </c:extLst>
        </c:ser>
        <c:ser>
          <c:idx val="6"/>
          <c:order val="6"/>
          <c:tx>
            <c:strRef>
              <c:f>'Figures of D2'!$C$169</c:f>
              <c:strCache>
                <c:ptCount val="1"/>
                <c:pt idx="0">
                  <c:v>Electricity imports-exports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D2'!$D$162:$O$162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D2'!$D$169:$O$169</c:f>
              <c:numCache>
                <c:formatCode>#,##0</c:formatCode>
                <c:ptCount val="12"/>
                <c:pt idx="0">
                  <c:v>-3.254</c:v>
                </c:pt>
                <c:pt idx="1">
                  <c:v>-3.5619999999999998</c:v>
                </c:pt>
                <c:pt idx="2">
                  <c:v>-2.2400000000000002</c:v>
                </c:pt>
                <c:pt idx="3">
                  <c:v>-3.5880000000000001</c:v>
                </c:pt>
                <c:pt idx="4">
                  <c:v>-2.754</c:v>
                </c:pt>
                <c:pt idx="5">
                  <c:v>-0.92500000000000004</c:v>
                </c:pt>
                <c:pt idx="6">
                  <c:v>-2.0369999999999999</c:v>
                </c:pt>
                <c:pt idx="7">
                  <c:v>-2.7340036599999999</c:v>
                </c:pt>
                <c:pt idx="8">
                  <c:v>-1.8970041900000001</c:v>
                </c:pt>
                <c:pt idx="9">
                  <c:v>2.157</c:v>
                </c:pt>
                <c:pt idx="10">
                  <c:v>3.6438888888888883</c:v>
                </c:pt>
                <c:pt idx="11">
                  <c:v>2.6291666666666664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10-4285-852D-98A28150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050163552"/>
        <c:axId val="2124217888"/>
      </c:barChart>
      <c:catAx>
        <c:axId val="20501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24217888"/>
        <c:crosses val="autoZero"/>
        <c:auto val="1"/>
        <c:lblAlgn val="ctr"/>
        <c:lblOffset val="100"/>
        <c:noMultiLvlLbl val="0"/>
      </c:catAx>
      <c:valAx>
        <c:axId val="21242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ysClr val="windowText" lastClr="000000"/>
                    </a:solidFill>
                  </a:rPr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5016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3674326337775"/>
          <c:y val="0.74934217093337596"/>
          <c:w val="0.84987297742960688"/>
          <c:h val="0.23940607264086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of D2'!$C$217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D2'!$D$216:$O$216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D2'!$D$217:$O$217</c:f>
              <c:numCache>
                <c:formatCode>#\ ##0.0</c:formatCode>
                <c:ptCount val="12"/>
                <c:pt idx="0">
                  <c:v>6.7186111111111124</c:v>
                </c:pt>
                <c:pt idx="1">
                  <c:v>6.8161111111111117</c:v>
                </c:pt>
                <c:pt idx="2">
                  <c:v>6.5602777777777774</c:v>
                </c:pt>
                <c:pt idx="3">
                  <c:v>7.4386111111111113</c:v>
                </c:pt>
                <c:pt idx="4">
                  <c:v>6.4644444444444442</c:v>
                </c:pt>
                <c:pt idx="5">
                  <c:v>6.2222222222222214</c:v>
                </c:pt>
                <c:pt idx="6">
                  <c:v>5.3241666666666667</c:v>
                </c:pt>
                <c:pt idx="7">
                  <c:v>5.4169444444444448</c:v>
                </c:pt>
                <c:pt idx="8">
                  <c:v>5.6736111111111107</c:v>
                </c:pt>
                <c:pt idx="9">
                  <c:v>5.341388888888889</c:v>
                </c:pt>
                <c:pt idx="10">
                  <c:v>4.745277777777777</c:v>
                </c:pt>
                <c:pt idx="11">
                  <c:v>4.3980555555555556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5-4B0F-B09B-5280FA3DC442}"/>
            </c:ext>
          </c:extLst>
        </c:ser>
        <c:ser>
          <c:idx val="1"/>
          <c:order val="1"/>
          <c:tx>
            <c:strRef>
              <c:f>'Figures of D2'!$C$218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D2'!$D$216:$O$216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D2'!$D$218:$O$218</c:f>
              <c:numCache>
                <c:formatCode>#\ ##0.0</c:formatCode>
                <c:ptCount val="12"/>
                <c:pt idx="0">
                  <c:v>8.7761111111111116</c:v>
                </c:pt>
                <c:pt idx="1">
                  <c:v>8.7138888888888868</c:v>
                </c:pt>
                <c:pt idx="2">
                  <c:v>8.8133333333333344</c:v>
                </c:pt>
                <c:pt idx="3">
                  <c:v>8.5969444444444427</c:v>
                </c:pt>
                <c:pt idx="4">
                  <c:v>8.6238888888888887</c:v>
                </c:pt>
                <c:pt idx="5">
                  <c:v>8.8388888888888886</c:v>
                </c:pt>
                <c:pt idx="6">
                  <c:v>9.0352777777777771</c:v>
                </c:pt>
                <c:pt idx="7">
                  <c:v>9.3505555555555553</c:v>
                </c:pt>
                <c:pt idx="8">
                  <c:v>9.6775000000000002</c:v>
                </c:pt>
                <c:pt idx="9">
                  <c:v>9.7083333333333339</c:v>
                </c:pt>
                <c:pt idx="10">
                  <c:v>9.2200000000000006</c:v>
                </c:pt>
                <c:pt idx="11">
                  <c:v>9.7202777777777776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5-4B0F-B09B-5280FA3DC442}"/>
            </c:ext>
          </c:extLst>
        </c:ser>
        <c:ser>
          <c:idx val="2"/>
          <c:order val="2"/>
          <c:tx>
            <c:strRef>
              <c:f>'Figures of D2'!$C$219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D2'!$D$216:$O$216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D2'!$D$219:$O$219</c:f>
              <c:numCache>
                <c:formatCode>#\ ##0.0</c:formatCode>
                <c:ptCount val="12"/>
                <c:pt idx="0">
                  <c:v>11.942222222222222</c:v>
                </c:pt>
                <c:pt idx="1">
                  <c:v>10.876944444444444</c:v>
                </c:pt>
                <c:pt idx="2">
                  <c:v>11.290833333333333</c:v>
                </c:pt>
                <c:pt idx="3">
                  <c:v>10.859196704371021</c:v>
                </c:pt>
                <c:pt idx="4">
                  <c:v>10.329108888888889</c:v>
                </c:pt>
                <c:pt idx="5">
                  <c:v>9.967001549332295</c:v>
                </c:pt>
                <c:pt idx="6">
                  <c:v>10.8225</c:v>
                </c:pt>
                <c:pt idx="7">
                  <c:v>10.961111111111112</c:v>
                </c:pt>
                <c:pt idx="8">
                  <c:v>10.945248316317539</c:v>
                </c:pt>
                <c:pt idx="9">
                  <c:v>11.063623146193635</c:v>
                </c:pt>
                <c:pt idx="10">
                  <c:v>10.987222222222222</c:v>
                </c:pt>
                <c:pt idx="11">
                  <c:v>11.225277777777777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5-4B0F-B09B-5280FA3DC442}"/>
            </c:ext>
          </c:extLst>
        </c:ser>
        <c:ser>
          <c:idx val="3"/>
          <c:order val="3"/>
          <c:tx>
            <c:strRef>
              <c:f>'Figures of D2'!$C$220</c:f>
              <c:strCache>
                <c:ptCount val="1"/>
                <c:pt idx="0">
                  <c:v>Service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D2'!$D$216:$O$216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D2'!$D$220:$O$220</c:f>
              <c:numCache>
                <c:formatCode>#\ ##0.0</c:formatCode>
                <c:ptCount val="12"/>
                <c:pt idx="0">
                  <c:v>4.9419780949191887</c:v>
                </c:pt>
                <c:pt idx="1">
                  <c:v>4.6772222222222215</c:v>
                </c:pt>
                <c:pt idx="2">
                  <c:v>4.9214520005926996</c:v>
                </c:pt>
                <c:pt idx="3">
                  <c:v>4.8622551180449767</c:v>
                </c:pt>
                <c:pt idx="4">
                  <c:v>5.3223716666666672</c:v>
                </c:pt>
                <c:pt idx="5">
                  <c:v>5.4136196306739626</c:v>
                </c:pt>
                <c:pt idx="6">
                  <c:v>5.7944444444444443</c:v>
                </c:pt>
                <c:pt idx="7">
                  <c:v>5.4505555555555558</c:v>
                </c:pt>
                <c:pt idx="8">
                  <c:v>5.701944444444444</c:v>
                </c:pt>
                <c:pt idx="9">
                  <c:v>5.4347222222222218</c:v>
                </c:pt>
                <c:pt idx="10">
                  <c:v>5.4836111111111112</c:v>
                </c:pt>
                <c:pt idx="11">
                  <c:v>5.908611111111111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5-4B0F-B09B-5280FA3DC442}"/>
            </c:ext>
          </c:extLst>
        </c:ser>
        <c:ser>
          <c:idx val="4"/>
          <c:order val="4"/>
          <c:tx>
            <c:strRef>
              <c:f>'Figures of D2'!$C$221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D2'!$D$216:$O$216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D2'!$D$221:$O$221</c:f>
              <c:numCache>
                <c:formatCode>#\ ##0.0</c:formatCode>
                <c:ptCount val="12"/>
                <c:pt idx="0">
                  <c:v>1.1045681608476945</c:v>
                </c:pt>
                <c:pt idx="1">
                  <c:v>1.260672114848207</c:v>
                </c:pt>
                <c:pt idx="2">
                  <c:v>1.2788410312404692</c:v>
                </c:pt>
                <c:pt idx="3">
                  <c:v>1.2730684427401611</c:v>
                </c:pt>
                <c:pt idx="4">
                  <c:v>1.5162614444444447</c:v>
                </c:pt>
                <c:pt idx="5">
                  <c:v>1.5327176786666088</c:v>
                </c:pt>
                <c:pt idx="6">
                  <c:v>1.5088888888888889</c:v>
                </c:pt>
                <c:pt idx="7">
                  <c:v>1.5324218379575354</c:v>
                </c:pt>
                <c:pt idx="8">
                  <c:v>1.4441666666666668</c:v>
                </c:pt>
                <c:pt idx="9">
                  <c:v>1.3178486796428397</c:v>
                </c:pt>
                <c:pt idx="10">
                  <c:v>1.2727777777777776</c:v>
                </c:pt>
                <c:pt idx="11">
                  <c:v>0.99083333333333323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5-4B0F-B09B-5280FA3DC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18857440"/>
        <c:axId val="1996294624"/>
      </c:barChart>
      <c:catAx>
        <c:axId val="21188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96294624"/>
        <c:crosses val="autoZero"/>
        <c:auto val="1"/>
        <c:lblAlgn val="ctr"/>
        <c:lblOffset val="100"/>
        <c:noMultiLvlLbl val="0"/>
      </c:catAx>
      <c:valAx>
        <c:axId val="19962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188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of D2'!$C$259</c:f>
              <c:strCache>
                <c:ptCount val="1"/>
                <c:pt idx="0">
                  <c:v>Electricity- total final consumption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'Figures of D2'!$D$258:$O$258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D2'!$D$259:$O$259</c:f>
              <c:numCache>
                <c:formatCode>#\ ##0.0</c:formatCode>
                <c:ptCount val="12"/>
                <c:pt idx="0">
                  <c:v>6.903999999999999</c:v>
                </c:pt>
                <c:pt idx="1">
                  <c:v>6.6180000000000012</c:v>
                </c:pt>
                <c:pt idx="2">
                  <c:v>6.9689999999999994</c:v>
                </c:pt>
                <c:pt idx="3">
                  <c:v>6.8120000000000003</c:v>
                </c:pt>
                <c:pt idx="4">
                  <c:v>6.8959999999999999</c:v>
                </c:pt>
                <c:pt idx="5">
                  <c:v>6.8440000000000003</c:v>
                </c:pt>
                <c:pt idx="6">
                  <c:v>7.293000000000001</c:v>
                </c:pt>
                <c:pt idx="7">
                  <c:v>7.2206666666666672</c:v>
                </c:pt>
                <c:pt idx="8">
                  <c:v>7.3546500000000004</c:v>
                </c:pt>
                <c:pt idx="9">
                  <c:v>7.3130111111111109</c:v>
                </c:pt>
                <c:pt idx="10">
                  <c:v>7.176111111111112</c:v>
                </c:pt>
                <c:pt idx="11">
                  <c:v>7.8808333333333334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E-482C-8D0A-BA25A7C876E6}"/>
            </c:ext>
          </c:extLst>
        </c:ser>
        <c:ser>
          <c:idx val="1"/>
          <c:order val="1"/>
          <c:tx>
            <c:strRef>
              <c:f>'Figures of D2'!$C$260</c:f>
              <c:strCache>
                <c:ptCount val="1"/>
                <c:pt idx="0">
                  <c:v>Heat- total final consumption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'Figures of D2'!$D$258:$O$258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D2'!$D$260:$O$260</c:f>
              <c:numCache>
                <c:formatCode>#\ ##0.0</c:formatCode>
                <c:ptCount val="12"/>
                <c:pt idx="0">
                  <c:v>6.1816666666666658</c:v>
                </c:pt>
                <c:pt idx="1">
                  <c:v>5.5216666666666674</c:v>
                </c:pt>
                <c:pt idx="2">
                  <c:v>5.7055555555555557</c:v>
                </c:pt>
                <c:pt idx="3">
                  <c:v>5.42</c:v>
                </c:pt>
                <c:pt idx="4">
                  <c:v>5.1050000000000004</c:v>
                </c:pt>
                <c:pt idx="5">
                  <c:v>5.008055555555555</c:v>
                </c:pt>
                <c:pt idx="6">
                  <c:v>5.493611111111111</c:v>
                </c:pt>
                <c:pt idx="7">
                  <c:v>5.5344444444444445</c:v>
                </c:pt>
                <c:pt idx="8">
                  <c:v>5.6013888888888896</c:v>
                </c:pt>
                <c:pt idx="9">
                  <c:v>5.4016666666666673</c:v>
                </c:pt>
                <c:pt idx="10">
                  <c:v>5.3638888888888889</c:v>
                </c:pt>
                <c:pt idx="11">
                  <c:v>5.5729411111111125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E-482C-8D0A-BA25A7C876E6}"/>
            </c:ext>
          </c:extLst>
        </c:ser>
        <c:ser>
          <c:idx val="2"/>
          <c:order val="2"/>
          <c:tx>
            <c:strRef>
              <c:f>'Figures of D2'!$C$261</c:f>
              <c:strCache>
                <c:ptCount val="1"/>
                <c:pt idx="0">
                  <c:v>Electricity- households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'Figures of D2'!$D$258:$O$258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D2'!$D$261:$O$261</c:f>
              <c:numCache>
                <c:formatCode>#\ ##0.0</c:formatCode>
                <c:ptCount val="12"/>
                <c:pt idx="0">
                  <c:v>2.0229999999999997</c:v>
                </c:pt>
                <c:pt idx="1">
                  <c:v>1.9339999999999999</c:v>
                </c:pt>
                <c:pt idx="2">
                  <c:v>1.956</c:v>
                </c:pt>
                <c:pt idx="3">
                  <c:v>1.8649999999999998</c:v>
                </c:pt>
                <c:pt idx="4">
                  <c:v>1.7390000000000001</c:v>
                </c:pt>
                <c:pt idx="5">
                  <c:v>1.728</c:v>
                </c:pt>
                <c:pt idx="6">
                  <c:v>1.9130000000000003</c:v>
                </c:pt>
                <c:pt idx="7">
                  <c:v>1.9400000000000002</c:v>
                </c:pt>
                <c:pt idx="8">
                  <c:v>1.86</c:v>
                </c:pt>
                <c:pt idx="9">
                  <c:v>2.0699999999999998</c:v>
                </c:pt>
                <c:pt idx="10">
                  <c:v>1.9980555555555555</c:v>
                </c:pt>
                <c:pt idx="11">
                  <c:v>2.2288888888888887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E-482C-8D0A-BA25A7C876E6}"/>
            </c:ext>
          </c:extLst>
        </c:ser>
        <c:ser>
          <c:idx val="3"/>
          <c:order val="3"/>
          <c:tx>
            <c:strRef>
              <c:f>'Figures of D2'!$C$262</c:f>
              <c:strCache>
                <c:ptCount val="1"/>
                <c:pt idx="0">
                  <c:v>Heat- households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'Figures of D2'!$D$258:$O$258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'Figures of D2'!$D$262:$O$262</c:f>
              <c:numCache>
                <c:formatCode>#\ ##0.0</c:formatCode>
                <c:ptCount val="12"/>
                <c:pt idx="0">
                  <c:v>4.1588888888888889</c:v>
                </c:pt>
                <c:pt idx="1">
                  <c:v>3.8688888888888893</c:v>
                </c:pt>
                <c:pt idx="2">
                  <c:v>3.9530555555555558</c:v>
                </c:pt>
                <c:pt idx="3">
                  <c:v>3.8388888888888886</c:v>
                </c:pt>
                <c:pt idx="4">
                  <c:v>3.4700000000000006</c:v>
                </c:pt>
                <c:pt idx="5">
                  <c:v>3.2969444444444438</c:v>
                </c:pt>
                <c:pt idx="6">
                  <c:v>3.6269444444444443</c:v>
                </c:pt>
                <c:pt idx="7">
                  <c:v>3.7</c:v>
                </c:pt>
                <c:pt idx="8">
                  <c:v>3.7500000000000004</c:v>
                </c:pt>
                <c:pt idx="9">
                  <c:v>3.8</c:v>
                </c:pt>
                <c:pt idx="10">
                  <c:v>3.6388888888888888</c:v>
                </c:pt>
                <c:pt idx="11">
                  <c:v>3.7222222222222223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0E-482C-8D0A-BA25A7C8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65840"/>
        <c:axId val="1867539632"/>
      </c:lineChart>
      <c:catAx>
        <c:axId val="21188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67539632"/>
        <c:crosses val="autoZero"/>
        <c:auto val="1"/>
        <c:lblAlgn val="ctr"/>
        <c:lblOffset val="100"/>
        <c:noMultiLvlLbl val="0"/>
      </c:catAx>
      <c:valAx>
        <c:axId val="18675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000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18865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'Figures of D2'!$F$293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C62-4EAC-A00E-3E456AE6CF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C62-4EAC-A00E-3E456AE6CF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C62-4EAC-A00E-3E456AE6CF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C62-4EAC-A00E-3E456AE6CFE7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C62-4EAC-A00E-3E456AE6CFE7}"/>
              </c:ext>
            </c:extLst>
          </c:dPt>
          <c:dLbls>
            <c:dLbl>
              <c:idx val="0"/>
              <c:layout>
                <c:manualLayout>
                  <c:x val="-9.1316491688538934E-2"/>
                  <c:y val="0.204029235928842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62-4EAC-A00E-3E456AE6CFE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C62-4EAC-A00E-3E456AE6CFE7}"/>
                </c:ext>
              </c:extLst>
            </c:dLbl>
            <c:dLbl>
              <c:idx val="2"/>
              <c:layout>
                <c:manualLayout>
                  <c:x val="0.16008989501312337"/>
                  <c:y val="-0.267995169082125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66666666666667"/>
                      <c:h val="0.175856663750364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C62-4EAC-A00E-3E456AE6CFE7}"/>
                </c:ext>
              </c:extLst>
            </c:dLbl>
            <c:dLbl>
              <c:idx val="3"/>
              <c:layout>
                <c:manualLayout>
                  <c:x val="0.12616732283464563"/>
                  <c:y val="0.21742490522018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62-4EAC-A00E-3E456AE6CFE7}"/>
                </c:ext>
              </c:extLst>
            </c:dLbl>
            <c:dLbl>
              <c:idx val="4"/>
              <c:layout>
                <c:manualLayout>
                  <c:x val="3.5590769903761976E-2"/>
                  <c:y val="6.9354482863555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62-4EAC-A00E-3E456AE6C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of D2'!$C$294:$C$298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Households</c:v>
                </c:pt>
                <c:pt idx="3">
                  <c:v>Service</c:v>
                </c:pt>
                <c:pt idx="4">
                  <c:v>Agriculture</c:v>
                </c:pt>
              </c:strCache>
            </c:strRef>
          </c:cat>
          <c:val>
            <c:numRef>
              <c:f>'Figures of D2'!$F$294:$F$298</c:f>
              <c:numCache>
                <c:formatCode>0.0</c:formatCode>
                <c:ptCount val="5"/>
                <c:pt idx="0">
                  <c:v>14.965134207022215</c:v>
                </c:pt>
                <c:pt idx="1">
                  <c:v>29.077020113532836</c:v>
                </c:pt>
                <c:pt idx="2">
                  <c:v>34.650290840283134</c:v>
                </c:pt>
                <c:pt idx="3">
                  <c:v>17.293608521970707</c:v>
                </c:pt>
                <c:pt idx="4">
                  <c:v>4.0139463171911132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2-4EAC-A00E-3E456AE6CFE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of D2'!$C$311</c:f>
              <c:strCache>
                <c:ptCount val="1"/>
                <c:pt idx="0">
                  <c:v>Public administration and defence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'Figures of D2'!$D$310:$N$310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'Figures of D2'!$D$311:$N$311</c:f>
              <c:numCache>
                <c:formatCode>#,##0</c:formatCode>
                <c:ptCount val="11"/>
                <c:pt idx="0">
                  <c:v>577</c:v>
                </c:pt>
                <c:pt idx="1">
                  <c:v>1117</c:v>
                </c:pt>
                <c:pt idx="2">
                  <c:v>1111</c:v>
                </c:pt>
                <c:pt idx="3">
                  <c:v>1021</c:v>
                </c:pt>
                <c:pt idx="4">
                  <c:v>951</c:v>
                </c:pt>
                <c:pt idx="5">
                  <c:v>1051</c:v>
                </c:pt>
                <c:pt idx="6">
                  <c:v>1409</c:v>
                </c:pt>
                <c:pt idx="7">
                  <c:v>1420</c:v>
                </c:pt>
                <c:pt idx="8">
                  <c:v>1403</c:v>
                </c:pt>
                <c:pt idx="9">
                  <c:v>1219</c:v>
                </c:pt>
                <c:pt idx="10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6-472A-ADEA-F7639947E9AD}"/>
            </c:ext>
          </c:extLst>
        </c:ser>
        <c:ser>
          <c:idx val="1"/>
          <c:order val="1"/>
          <c:tx>
            <c:strRef>
              <c:f>'Figures of D2'!$C$312</c:f>
              <c:strCache>
                <c:ptCount val="1"/>
                <c:pt idx="0">
                  <c:v>ITC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'Figures of D2'!$D$310:$N$310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'Figures of D2'!$D$312:$N$312</c:f>
              <c:numCache>
                <c:formatCode>#,##0</c:formatCode>
                <c:ptCount val="11"/>
                <c:pt idx="0">
                  <c:v>161</c:v>
                </c:pt>
                <c:pt idx="1">
                  <c:v>204</c:v>
                </c:pt>
                <c:pt idx="2">
                  <c:v>215</c:v>
                </c:pt>
                <c:pt idx="3">
                  <c:v>231</c:v>
                </c:pt>
                <c:pt idx="4">
                  <c:v>199</c:v>
                </c:pt>
                <c:pt idx="5">
                  <c:v>193</c:v>
                </c:pt>
                <c:pt idx="6">
                  <c:v>240</c:v>
                </c:pt>
                <c:pt idx="7">
                  <c:v>252</c:v>
                </c:pt>
                <c:pt idx="8">
                  <c:v>256</c:v>
                </c:pt>
                <c:pt idx="9">
                  <c:v>271</c:v>
                </c:pt>
                <c:pt idx="1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6-472A-ADEA-F7639947E9AD}"/>
            </c:ext>
          </c:extLst>
        </c:ser>
        <c:ser>
          <c:idx val="2"/>
          <c:order val="2"/>
          <c:tx>
            <c:strRef>
              <c:f>'Figures of D2'!$C$313</c:f>
              <c:strCache>
                <c:ptCount val="1"/>
                <c:pt idx="0">
                  <c:v>Other Service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'Figures of D2'!$D$310:$N$310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'Figures of D2'!$D$313:$N$313</c:f>
              <c:numCache>
                <c:formatCode>#,##0</c:formatCode>
                <c:ptCount val="11"/>
                <c:pt idx="0">
                  <c:v>3939.2222222222217</c:v>
                </c:pt>
                <c:pt idx="1">
                  <c:v>3604.5555555555557</c:v>
                </c:pt>
                <c:pt idx="2">
                  <c:v>3534.2777777777774</c:v>
                </c:pt>
                <c:pt idx="3">
                  <c:v>4070.2222222222217</c:v>
                </c:pt>
                <c:pt idx="4">
                  <c:v>4262.5</c:v>
                </c:pt>
                <c:pt idx="5">
                  <c:v>4550.166666666667</c:v>
                </c:pt>
                <c:pt idx="6">
                  <c:v>3802.1111111111113</c:v>
                </c:pt>
                <c:pt idx="7">
                  <c:v>4030.5</c:v>
                </c:pt>
                <c:pt idx="8">
                  <c:v>3776</c:v>
                </c:pt>
                <c:pt idx="9">
                  <c:v>3993.8888888888887</c:v>
                </c:pt>
                <c:pt idx="10">
                  <c:v>3755.6111111111113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6-472A-ADEA-F7639947E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651002207"/>
        <c:axId val="1873231887"/>
      </c:barChart>
      <c:catAx>
        <c:axId val="165100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73231887"/>
        <c:crosses val="autoZero"/>
        <c:auto val="1"/>
        <c:lblAlgn val="ctr"/>
        <c:lblOffset val="100"/>
        <c:noMultiLvlLbl val="0"/>
      </c:catAx>
      <c:valAx>
        <c:axId val="187323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="1">
                    <a:solidFill>
                      <a:sysClr val="windowText" lastClr="000000"/>
                    </a:solidFill>
                  </a:rPr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5100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of D2'!$C$352</c:f>
              <c:strCache>
                <c:ptCount val="1"/>
                <c:pt idx="0">
                  <c:v>Number of apartment building reconstruction  grants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of D2'!$D$351:$M$351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'Figures of D2'!$D$352:$M$352</c:f>
              <c:numCache>
                <c:formatCode>General</c:formatCode>
                <c:ptCount val="10"/>
                <c:pt idx="0">
                  <c:v>52</c:v>
                </c:pt>
                <c:pt idx="1">
                  <c:v>191</c:v>
                </c:pt>
                <c:pt idx="2">
                  <c:v>269</c:v>
                </c:pt>
                <c:pt idx="3">
                  <c:v>110</c:v>
                </c:pt>
                <c:pt idx="4">
                  <c:v>39</c:v>
                </c:pt>
                <c:pt idx="5">
                  <c:v>45</c:v>
                </c:pt>
                <c:pt idx="6">
                  <c:v>148</c:v>
                </c:pt>
                <c:pt idx="7">
                  <c:v>209</c:v>
                </c:pt>
                <c:pt idx="8">
                  <c:v>0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4-43C5-A1F7-371954E8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870369263"/>
        <c:axId val="1944630351"/>
      </c:barChart>
      <c:catAx>
        <c:axId val="187036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4630351"/>
        <c:crosses val="autoZero"/>
        <c:auto val="1"/>
        <c:lblAlgn val="ctr"/>
        <c:lblOffset val="100"/>
        <c:noMultiLvlLbl val="0"/>
      </c:catAx>
      <c:valAx>
        <c:axId val="194463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7036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'Baseline scenario'!$A$89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scenario'!$C$89:$K$89</c:f>
              <c:numCache>
                <c:formatCode>#,##0</c:formatCode>
                <c:ptCount val="9"/>
                <c:pt idx="0">
                  <c:v>3365.7220000000002</c:v>
                </c:pt>
                <c:pt idx="1">
                  <c:v>2798.8888888888887</c:v>
                </c:pt>
                <c:pt idx="2">
                  <c:v>2493.3333333333335</c:v>
                </c:pt>
                <c:pt idx="3">
                  <c:v>2139.3222539447238</c:v>
                </c:pt>
                <c:pt idx="4">
                  <c:v>1930.8198239081933</c:v>
                </c:pt>
                <c:pt idx="5">
                  <c:v>1742.638438656279</c:v>
                </c:pt>
                <c:pt idx="6">
                  <c:v>1572.7975703789891</c:v>
                </c:pt>
                <c:pt idx="7">
                  <c:v>1419.5097172867802</c:v>
                </c:pt>
                <c:pt idx="8">
                  <c:v>1281.161590926192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1A-4243-BF3E-9391BAD3E506}"/>
            </c:ext>
          </c:extLst>
        </c:ser>
        <c:ser>
          <c:idx val="1"/>
          <c:order val="1"/>
          <c:tx>
            <c:strRef>
              <c:f>'Baseline scenario'!$A$90</c:f>
              <c:strCache>
                <c:ptCount val="1"/>
                <c:pt idx="0">
                  <c:v>Diesel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scenario'!$C$90:$K$90</c:f>
              <c:numCache>
                <c:formatCode>#,##0</c:formatCode>
                <c:ptCount val="9"/>
                <c:pt idx="0">
                  <c:v>5210.2219999999998</c:v>
                </c:pt>
                <c:pt idx="1">
                  <c:v>5851.5</c:v>
                </c:pt>
                <c:pt idx="2">
                  <c:v>5796.1111111111104</c:v>
                </c:pt>
                <c:pt idx="3">
                  <c:v>6798.7833921215288</c:v>
                </c:pt>
                <c:pt idx="4">
                  <c:v>7326.0247671697925</c:v>
                </c:pt>
                <c:pt idx="5">
                  <c:v>7894.1533791735537</c:v>
                </c:pt>
                <c:pt idx="6">
                  <c:v>8506.3400076371763</c:v>
                </c:pt>
                <c:pt idx="7">
                  <c:v>9166.0013240208973</c:v>
                </c:pt>
                <c:pt idx="8">
                  <c:v>9876.8189605073203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51A-4243-BF3E-9391BAD3E506}"/>
            </c:ext>
          </c:extLst>
        </c:ser>
        <c:ser>
          <c:idx val="2"/>
          <c:order val="2"/>
          <c:tx>
            <c:strRef>
              <c:f>'Baseline scenario'!$A$91</c:f>
              <c:strCache>
                <c:ptCount val="1"/>
                <c:pt idx="0">
                  <c:v>Aviation gasoline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scenario'!$C$91:$K$91</c:f>
              <c:numCache>
                <c:formatCode>#,##0</c:formatCode>
                <c:ptCount val="9"/>
                <c:pt idx="0">
                  <c:v>11.110000000000001</c:v>
                </c:pt>
                <c:pt idx="1">
                  <c:v>16.524444444444445</c:v>
                </c:pt>
                <c:pt idx="2">
                  <c:v>13.888888888888889</c:v>
                </c:pt>
                <c:pt idx="3">
                  <c:v>22.546420216666672</c:v>
                </c:pt>
                <c:pt idx="4">
                  <c:v>23.696514241494491</c:v>
                </c:pt>
                <c:pt idx="5">
                  <c:v>24.905274620148486</c:v>
                </c:pt>
                <c:pt idx="6">
                  <c:v>26.175693926276516</c:v>
                </c:pt>
                <c:pt idx="7">
                  <c:v>27.510917384858143</c:v>
                </c:pt>
                <c:pt idx="8">
                  <c:v>28.914250658956714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51A-4243-BF3E-9391BAD3E506}"/>
            </c:ext>
          </c:extLst>
        </c:ser>
        <c:ser>
          <c:idx val="3"/>
          <c:order val="3"/>
          <c:tx>
            <c:strRef>
              <c:f>'Baseline scenario'!$A$92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scenario'!$C$92:$K$92</c:f>
              <c:numCache>
                <c:formatCode>#,##0</c:formatCode>
                <c:ptCount val="9"/>
                <c:pt idx="0">
                  <c:v>26.111111111111114</c:v>
                </c:pt>
                <c:pt idx="1">
                  <c:v>63.282916666666665</c:v>
                </c:pt>
                <c:pt idx="2">
                  <c:v>117.5</c:v>
                </c:pt>
                <c:pt idx="3">
                  <c:v>126.31776454722224</c:v>
                </c:pt>
                <c:pt idx="4">
                  <c:v>132.76124004529606</c:v>
                </c:pt>
                <c:pt idx="5">
                  <c:v>139.53339755134473</c:v>
                </c:pt>
                <c:pt idx="6">
                  <c:v>146.65100315106201</c:v>
                </c:pt>
                <c:pt idx="7">
                  <c:v>154.13167816901293</c:v>
                </c:pt>
                <c:pt idx="8">
                  <c:v>161.99394279441134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1A-4243-BF3E-9391BAD3E506}"/>
            </c:ext>
          </c:extLst>
        </c:ser>
        <c:ser>
          <c:idx val="4"/>
          <c:order val="4"/>
          <c:tx>
            <c:strRef>
              <c:f>'Baseline scenario'!$A$93</c:f>
              <c:strCache>
                <c:ptCount val="1"/>
                <c:pt idx="0">
                  <c:v>NGV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scenario'!$C$93:$K$93</c:f>
              <c:numCache>
                <c:formatCode>#,##0</c:formatCode>
                <c:ptCount val="9"/>
                <c:pt idx="0">
                  <c:v>0.55555555555555558</c:v>
                </c:pt>
                <c:pt idx="1">
                  <c:v>32.222222222222214</c:v>
                </c:pt>
                <c:pt idx="2">
                  <c:v>180.83333333333334</c:v>
                </c:pt>
                <c:pt idx="3">
                  <c:v>208.12080200000003</c:v>
                </c:pt>
                <c:pt idx="4">
                  <c:v>218.73705453687222</c:v>
                </c:pt>
                <c:pt idx="5">
                  <c:v>229.89484264752448</c:v>
                </c:pt>
                <c:pt idx="6">
                  <c:v>241.62179008870626</c:v>
                </c:pt>
                <c:pt idx="7">
                  <c:v>253.94692970638286</c:v>
                </c:pt>
                <c:pt idx="8">
                  <c:v>266.90077531344656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51A-4243-BF3E-9391BAD3E506}"/>
            </c:ext>
          </c:extLst>
        </c:ser>
        <c:ser>
          <c:idx val="5"/>
          <c:order val="5"/>
          <c:tx>
            <c:strRef>
              <c:f>'Baseline scenario'!$A$94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scenario'!$C$94:$K$94</c:f>
              <c:numCache>
                <c:formatCode>#,##0</c:formatCode>
                <c:ptCount val="9"/>
                <c:pt idx="0">
                  <c:v>0.55555555555555558</c:v>
                </c:pt>
                <c:pt idx="1">
                  <c:v>0.55555555555555558</c:v>
                </c:pt>
                <c:pt idx="2">
                  <c:v>97.5</c:v>
                </c:pt>
                <c:pt idx="3">
                  <c:v>148.89279702386102</c:v>
                </c:pt>
                <c:pt idx="4">
                  <c:v>164.47027790691646</c:v>
                </c:pt>
                <c:pt idx="5">
                  <c:v>181.67750794850951</c:v>
                </c:pt>
                <c:pt idx="6">
                  <c:v>200.68499496949352</c:v>
                </c:pt>
                <c:pt idx="7">
                  <c:v>221.6810856813388</c:v>
                </c:pt>
                <c:pt idx="8">
                  <c:v>244.87383202878374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51A-4243-BF3E-9391BAD3E506}"/>
            </c:ext>
          </c:extLst>
        </c:ser>
        <c:ser>
          <c:idx val="6"/>
          <c:order val="6"/>
          <c:tx>
            <c:strRef>
              <c:f>'Baseline scenario'!$A$95</c:f>
              <c:strCache>
                <c:ptCount val="1"/>
                <c:pt idx="0">
                  <c:v>Bioethanol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scenario'!$C$95:$K$95</c:f>
              <c:numCache>
                <c:formatCode>#,##0</c:formatCode>
                <c:ptCount val="9"/>
                <c:pt idx="0">
                  <c:v>46.52</c:v>
                </c:pt>
                <c:pt idx="1">
                  <c:v>34.89</c:v>
                </c:pt>
                <c:pt idx="2">
                  <c:v>71.944444444444443</c:v>
                </c:pt>
                <c:pt idx="3">
                  <c:v>45.294263032083258</c:v>
                </c:pt>
                <c:pt idx="4">
                  <c:v>40.879797707147134</c:v>
                </c:pt>
                <c:pt idx="5">
                  <c:v>36.895574598344645</c:v>
                </c:pt>
                <c:pt idx="6">
                  <c:v>33.299661478119724</c:v>
                </c:pt>
                <c:pt idx="7">
                  <c:v>30.054212913846882</c:v>
                </c:pt>
                <c:pt idx="8">
                  <c:v>27.125071960997104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1A-4243-BF3E-9391BAD3E506}"/>
            </c:ext>
          </c:extLst>
        </c:ser>
        <c:ser>
          <c:idx val="7"/>
          <c:order val="7"/>
          <c:tx>
            <c:strRef>
              <c:f>'Baseline scenario'!$A$96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scenario'!$C$96:$K$96</c:f>
              <c:numCache>
                <c:formatCode>#,##0</c:formatCode>
                <c:ptCount val="9"/>
                <c:pt idx="0">
                  <c:v>37.777777777777779</c:v>
                </c:pt>
                <c:pt idx="1">
                  <c:v>0</c:v>
                </c:pt>
                <c:pt idx="2">
                  <c:v>380.83333333333326</c:v>
                </c:pt>
                <c:pt idx="3">
                  <c:v>461.19436265085324</c:v>
                </c:pt>
                <c:pt idx="4">
                  <c:v>496.95969534409949</c:v>
                </c:pt>
                <c:pt idx="5">
                  <c:v>535.49860708828248</c:v>
                </c:pt>
                <c:pt idx="6">
                  <c:v>577.02618719398617</c:v>
                </c:pt>
                <c:pt idx="7">
                  <c:v>621.77420501252118</c:v>
                </c:pt>
                <c:pt idx="8">
                  <c:v>669.9924034625891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51A-4243-BF3E-9391BAD3E506}"/>
            </c:ext>
          </c:extLst>
        </c:ser>
        <c:ser>
          <c:idx val="8"/>
          <c:order val="8"/>
          <c:tx>
            <c:strRef>
              <c:f>'Baseline scenario'!$A$97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scenario'!$C$88:$K$88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'Baseline scenario'!$C$97:$K$97</c:f>
              <c:numCache>
                <c:formatCode>#,##0</c:formatCode>
                <c:ptCount val="9"/>
                <c:pt idx="0">
                  <c:v>37.055555555555557</c:v>
                </c:pt>
                <c:pt idx="1">
                  <c:v>23</c:v>
                </c:pt>
                <c:pt idx="2">
                  <c:v>25.833333333333336</c:v>
                </c:pt>
                <c:pt idx="3">
                  <c:v>165.06609167139371</c:v>
                </c:pt>
                <c:pt idx="4">
                  <c:v>297.18308402608079</c:v>
                </c:pt>
                <c:pt idx="5">
                  <c:v>388.65022556339983</c:v>
                </c:pt>
                <c:pt idx="6">
                  <c:v>439.22884694601748</c:v>
                </c:pt>
                <c:pt idx="7">
                  <c:v>448.26882576167526</c:v>
                </c:pt>
                <c:pt idx="8">
                  <c:v>414.70893914460953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51A-4243-BF3E-9391BAD3E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4380136"/>
        <c:axId val="1624423448"/>
      </c:barChart>
      <c:catAx>
        <c:axId val="177438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24423448"/>
        <c:crosses val="autoZero"/>
        <c:auto val="1"/>
        <c:lblAlgn val="ctr"/>
        <c:lblOffset val="100"/>
        <c:noMultiLvlLbl val="0"/>
      </c:catAx>
      <c:valAx>
        <c:axId val="162442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7438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9168853893264"/>
          <c:y val="4.1785375118708452E-2"/>
          <c:w val="0.86428159548238292"/>
          <c:h val="0.62391726675191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'Baseline scenario'!$A$64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scenario'!$C$64:$AQ$64</c:f>
              <c:numCache>
                <c:formatCode>0</c:formatCode>
                <c:ptCount val="41"/>
                <c:pt idx="0">
                  <c:v>3365.7220000000002</c:v>
                </c:pt>
                <c:pt idx="1">
                  <c:v>3116.6666666666665</c:v>
                </c:pt>
                <c:pt idx="2">
                  <c:v>2982.2222222222222</c:v>
                </c:pt>
                <c:pt idx="3">
                  <c:v>2798.8888888888887</c:v>
                </c:pt>
                <c:pt idx="4">
                  <c:v>2811.1111111111109</c:v>
                </c:pt>
                <c:pt idx="5">
                  <c:v>2798.8888888888887</c:v>
                </c:pt>
                <c:pt idx="6">
                  <c:v>2957.7777777777778</c:v>
                </c:pt>
                <c:pt idx="7">
                  <c:v>3104.4444444444443</c:v>
                </c:pt>
                <c:pt idx="8">
                  <c:v>3165.5555555555557</c:v>
                </c:pt>
                <c:pt idx="9">
                  <c:v>3177.7777777777778</c:v>
                </c:pt>
                <c:pt idx="10">
                  <c:v>2493.3333333333335</c:v>
                </c:pt>
                <c:pt idx="11">
                  <c:v>2322.2222222222222</c:v>
                </c:pt>
                <c:pt idx="12">
                  <c:v>2275.0811111111111</c:v>
                </c:pt>
                <c:pt idx="13">
                  <c:v>2228.8969645555553</c:v>
                </c:pt>
                <c:pt idx="14">
                  <c:v>2183.6503561750778</c:v>
                </c:pt>
                <c:pt idx="15">
                  <c:v>2139.3222539447238</c:v>
                </c:pt>
                <c:pt idx="16">
                  <c:v>2095.8940121896458</c:v>
                </c:pt>
                <c:pt idx="17">
                  <c:v>2053.3473637421962</c:v>
                </c:pt>
                <c:pt idx="18">
                  <c:v>2011.6644122582295</c:v>
                </c:pt>
                <c:pt idx="19">
                  <c:v>1970.8276246893877</c:v>
                </c:pt>
                <c:pt idx="20">
                  <c:v>1930.8198239081933</c:v>
                </c:pt>
                <c:pt idx="21">
                  <c:v>1891.6241814828568</c:v>
                </c:pt>
                <c:pt idx="22">
                  <c:v>1853.2242105987548</c:v>
                </c:pt>
                <c:pt idx="23">
                  <c:v>1815.6037591236</c:v>
                </c:pt>
                <c:pt idx="24">
                  <c:v>1778.747002813391</c:v>
                </c:pt>
                <c:pt idx="25">
                  <c:v>1742.638438656279</c:v>
                </c:pt>
                <c:pt idx="26">
                  <c:v>1707.2628783515565</c:v>
                </c:pt>
                <c:pt idx="27">
                  <c:v>1672.60544192102</c:v>
                </c:pt>
                <c:pt idx="28">
                  <c:v>1638.6515514500231</c:v>
                </c:pt>
                <c:pt idx="29">
                  <c:v>1605.3869249555873</c:v>
                </c:pt>
                <c:pt idx="30">
                  <c:v>1572.7975703789891</c:v>
                </c:pt>
                <c:pt idx="31">
                  <c:v>1540.8697797002953</c:v>
                </c:pt>
                <c:pt idx="32">
                  <c:v>1509.5901231723792</c:v>
                </c:pt>
                <c:pt idx="33">
                  <c:v>1478.94544367198</c:v>
                </c:pt>
                <c:pt idx="34">
                  <c:v>1448.9228511654387</c:v>
                </c:pt>
                <c:pt idx="35">
                  <c:v>1419.5097172867802</c:v>
                </c:pt>
                <c:pt idx="36">
                  <c:v>1390.6936700258584</c:v>
                </c:pt>
                <c:pt idx="37">
                  <c:v>1362.4625885243336</c:v>
                </c:pt>
                <c:pt idx="38">
                  <c:v>1334.8045979772894</c:v>
                </c:pt>
                <c:pt idx="39">
                  <c:v>1307.7080646383506</c:v>
                </c:pt>
                <c:pt idx="40">
                  <c:v>1281.161590926192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3-40FE-A2A4-224903F08BBA}"/>
            </c:ext>
          </c:extLst>
        </c:ser>
        <c:ser>
          <c:idx val="1"/>
          <c:order val="1"/>
          <c:tx>
            <c:strRef>
              <c:f>'Baseline scenario'!$A$65</c:f>
              <c:strCache>
                <c:ptCount val="1"/>
                <c:pt idx="0">
                  <c:v>Diesel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scenario'!$C$65:$AQ$65</c:f>
              <c:numCache>
                <c:formatCode>0</c:formatCode>
                <c:ptCount val="41"/>
                <c:pt idx="0">
                  <c:v>5210.2219999999998</c:v>
                </c:pt>
                <c:pt idx="1">
                  <c:v>5428.5</c:v>
                </c:pt>
                <c:pt idx="2">
                  <c:v>5651.7499999999991</c:v>
                </c:pt>
                <c:pt idx="3">
                  <c:v>5628.25</c:v>
                </c:pt>
                <c:pt idx="4">
                  <c:v>5616.4999999999991</c:v>
                </c:pt>
                <c:pt idx="5">
                  <c:v>5851.5</c:v>
                </c:pt>
                <c:pt idx="6">
                  <c:v>5879.0197600000001</c:v>
                </c:pt>
                <c:pt idx="7">
                  <c:v>6017.7624999999998</c:v>
                </c:pt>
                <c:pt idx="8">
                  <c:v>6063.2450800000006</c:v>
                </c:pt>
                <c:pt idx="9">
                  <c:v>5851.1833333333325</c:v>
                </c:pt>
                <c:pt idx="10">
                  <c:v>5796.1111111111104</c:v>
                </c:pt>
                <c:pt idx="11">
                  <c:v>6404.4444444444434</c:v>
                </c:pt>
                <c:pt idx="12">
                  <c:v>6500.8313333333317</c:v>
                </c:pt>
                <c:pt idx="13">
                  <c:v>6598.6688448999976</c:v>
                </c:pt>
                <c:pt idx="14">
                  <c:v>6697.9788110157415</c:v>
                </c:pt>
                <c:pt idx="15">
                  <c:v>6798.7833921215288</c:v>
                </c:pt>
                <c:pt idx="16">
                  <c:v>6901.1050821729559</c:v>
                </c:pt>
                <c:pt idx="17">
                  <c:v>7004.966713659659</c:v>
                </c:pt>
                <c:pt idx="18">
                  <c:v>7110.3914627002368</c:v>
                </c:pt>
                <c:pt idx="19">
                  <c:v>7217.4028542138749</c:v>
                </c:pt>
                <c:pt idx="20">
                  <c:v>7326.0247671697925</c:v>
                </c:pt>
                <c:pt idx="21">
                  <c:v>7436.2814399156978</c:v>
                </c:pt>
                <c:pt idx="22">
                  <c:v>7548.1974755864276</c:v>
                </c:pt>
                <c:pt idx="23">
                  <c:v>7661.7978475940017</c:v>
                </c:pt>
                <c:pt idx="24">
                  <c:v>7777.1079052002906</c:v>
                </c:pt>
                <c:pt idx="25">
                  <c:v>7894.1533791735537</c:v>
                </c:pt>
                <c:pt idx="26">
                  <c:v>8012.9603875301145</c:v>
                </c:pt>
                <c:pt idx="27">
                  <c:v>8133.5554413624413</c:v>
                </c:pt>
                <c:pt idx="28">
                  <c:v>8255.965450754944</c:v>
                </c:pt>
                <c:pt idx="29">
                  <c:v>8380.2177307888051</c:v>
                </c:pt>
                <c:pt idx="30">
                  <c:v>8506.3400076371763</c:v>
                </c:pt>
                <c:pt idx="31">
                  <c:v>8634.3604247521143</c:v>
                </c:pt>
                <c:pt idx="32">
                  <c:v>8764.3075491446325</c:v>
                </c:pt>
                <c:pt idx="33">
                  <c:v>8896.2103777592583</c:v>
                </c:pt>
                <c:pt idx="34">
                  <c:v>9030.0983439445336</c:v>
                </c:pt>
                <c:pt idx="35">
                  <c:v>9166.0013240208973</c:v>
                </c:pt>
                <c:pt idx="36">
                  <c:v>9303.9496439474115</c:v>
                </c:pt>
                <c:pt idx="37">
                  <c:v>9443.9740860888178</c:v>
                </c:pt>
                <c:pt idx="38">
                  <c:v>9586.1058960844548</c:v>
                </c:pt>
                <c:pt idx="39">
                  <c:v>9730.3767898205242</c:v>
                </c:pt>
                <c:pt idx="40">
                  <c:v>9876.8189605073203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3-40FE-A2A4-224903F08BBA}"/>
            </c:ext>
          </c:extLst>
        </c:ser>
        <c:ser>
          <c:idx val="2"/>
          <c:order val="2"/>
          <c:tx>
            <c:strRef>
              <c:f>'Baseline scenario'!$A$66</c:f>
              <c:strCache>
                <c:ptCount val="1"/>
                <c:pt idx="0">
                  <c:v>Aviation gasoline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scenario'!$C$66:$AQ$66</c:f>
              <c:numCache>
                <c:formatCode>0</c:formatCode>
                <c:ptCount val="41"/>
                <c:pt idx="0">
                  <c:v>11.110000000000001</c:v>
                </c:pt>
                <c:pt idx="1">
                  <c:v>13.48111111111111</c:v>
                </c:pt>
                <c:pt idx="2">
                  <c:v>11.99</c:v>
                </c:pt>
                <c:pt idx="3">
                  <c:v>15.497777777777776</c:v>
                </c:pt>
                <c:pt idx="4">
                  <c:v>15.644444444444444</c:v>
                </c:pt>
                <c:pt idx="5">
                  <c:v>16.524444444444445</c:v>
                </c:pt>
                <c:pt idx="6">
                  <c:v>13.456666666666667</c:v>
                </c:pt>
                <c:pt idx="7">
                  <c:v>14.214444444444446</c:v>
                </c:pt>
                <c:pt idx="8">
                  <c:v>15.864444444444445</c:v>
                </c:pt>
                <c:pt idx="9">
                  <c:v>15.119</c:v>
                </c:pt>
                <c:pt idx="10">
                  <c:v>13.888888888888889</c:v>
                </c:pt>
                <c:pt idx="11">
                  <c:v>21.666666666666668</c:v>
                </c:pt>
                <c:pt idx="12">
                  <c:v>21.883333333333333</c:v>
                </c:pt>
                <c:pt idx="13">
                  <c:v>22.102166666666665</c:v>
                </c:pt>
                <c:pt idx="14">
                  <c:v>22.323188333333334</c:v>
                </c:pt>
                <c:pt idx="15">
                  <c:v>22.546420216666672</c:v>
                </c:pt>
                <c:pt idx="16">
                  <c:v>22.771884418833334</c:v>
                </c:pt>
                <c:pt idx="17">
                  <c:v>22.999603263021669</c:v>
                </c:pt>
                <c:pt idx="18">
                  <c:v>23.229599295651887</c:v>
                </c:pt>
                <c:pt idx="19">
                  <c:v>23.461895288608407</c:v>
                </c:pt>
                <c:pt idx="20">
                  <c:v>23.696514241494491</c:v>
                </c:pt>
                <c:pt idx="21">
                  <c:v>23.933479383909436</c:v>
                </c:pt>
                <c:pt idx="22">
                  <c:v>24.172814177748528</c:v>
                </c:pt>
                <c:pt idx="23">
                  <c:v>24.414542319526014</c:v>
                </c:pt>
                <c:pt idx="24">
                  <c:v>24.658687742721273</c:v>
                </c:pt>
                <c:pt idx="25">
                  <c:v>24.905274620148486</c:v>
                </c:pt>
                <c:pt idx="26">
                  <c:v>25.154327366349971</c:v>
                </c:pt>
                <c:pt idx="27">
                  <c:v>25.405870640013468</c:v>
                </c:pt>
                <c:pt idx="28">
                  <c:v>25.659929346413602</c:v>
                </c:pt>
                <c:pt idx="29">
                  <c:v>25.916528639877736</c:v>
                </c:pt>
                <c:pt idx="30">
                  <c:v>26.175693926276516</c:v>
                </c:pt>
                <c:pt idx="31">
                  <c:v>26.437450865539279</c:v>
                </c:pt>
                <c:pt idx="32">
                  <c:v>26.701825374194673</c:v>
                </c:pt>
                <c:pt idx="33">
                  <c:v>26.968843627936618</c:v>
                </c:pt>
                <c:pt idx="34">
                  <c:v>27.238532064215985</c:v>
                </c:pt>
                <c:pt idx="35">
                  <c:v>27.510917384858143</c:v>
                </c:pt>
                <c:pt idx="36">
                  <c:v>27.786026558706723</c:v>
                </c:pt>
                <c:pt idx="37">
                  <c:v>28.063886824293792</c:v>
                </c:pt>
                <c:pt idx="38">
                  <c:v>28.344525692536727</c:v>
                </c:pt>
                <c:pt idx="39">
                  <c:v>28.627970949462096</c:v>
                </c:pt>
                <c:pt idx="40">
                  <c:v>28.914250658956714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53-40FE-A2A4-224903F08BBA}"/>
            </c:ext>
          </c:extLst>
        </c:ser>
        <c:ser>
          <c:idx val="3"/>
          <c:order val="3"/>
          <c:tx>
            <c:strRef>
              <c:f>'Baseline scenario'!$A$67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scenario'!$C$67:$AQ$67</c:f>
              <c:numCache>
                <c:formatCode>0</c:formatCode>
                <c:ptCount val="41"/>
                <c:pt idx="0">
                  <c:v>26.111111111111114</c:v>
                </c:pt>
                <c:pt idx="1">
                  <c:v>29.006249999999998</c:v>
                </c:pt>
                <c:pt idx="2">
                  <c:v>37.752361111111114</c:v>
                </c:pt>
                <c:pt idx="3">
                  <c:v>44.362499999999997</c:v>
                </c:pt>
                <c:pt idx="4">
                  <c:v>53.058055555555569</c:v>
                </c:pt>
                <c:pt idx="5">
                  <c:v>63.282916666666665</c:v>
                </c:pt>
                <c:pt idx="6">
                  <c:v>71.111111111111114</c:v>
                </c:pt>
                <c:pt idx="7">
                  <c:v>85</c:v>
                </c:pt>
                <c:pt idx="8">
                  <c:v>102.5</c:v>
                </c:pt>
                <c:pt idx="9">
                  <c:v>122.22222222222221</c:v>
                </c:pt>
                <c:pt idx="10">
                  <c:v>117.5</c:v>
                </c:pt>
                <c:pt idx="11">
                  <c:v>121.3888888888889</c:v>
                </c:pt>
                <c:pt idx="12">
                  <c:v>122.60277777777779</c:v>
                </c:pt>
                <c:pt idx="13">
                  <c:v>123.82880555555556</c:v>
                </c:pt>
                <c:pt idx="14">
                  <c:v>125.06709361111112</c:v>
                </c:pt>
                <c:pt idx="15">
                  <c:v>126.31776454722224</c:v>
                </c:pt>
                <c:pt idx="16">
                  <c:v>127.58094219269447</c:v>
                </c:pt>
                <c:pt idx="17">
                  <c:v>128.8567516146214</c:v>
                </c:pt>
                <c:pt idx="18">
                  <c:v>130.14531913076763</c:v>
                </c:pt>
                <c:pt idx="19">
                  <c:v>131.4467723220753</c:v>
                </c:pt>
                <c:pt idx="20">
                  <c:v>132.76124004529606</c:v>
                </c:pt>
                <c:pt idx="21">
                  <c:v>134.08885244574901</c:v>
                </c:pt>
                <c:pt idx="22">
                  <c:v>135.4297409702065</c:v>
                </c:pt>
                <c:pt idx="23">
                  <c:v>136.78403837990857</c:v>
                </c:pt>
                <c:pt idx="24">
                  <c:v>138.15187876370766</c:v>
                </c:pt>
                <c:pt idx="25">
                  <c:v>139.53339755134473</c:v>
                </c:pt>
                <c:pt idx="26">
                  <c:v>140.92873152685817</c:v>
                </c:pt>
                <c:pt idx="27">
                  <c:v>142.33801884212673</c:v>
                </c:pt>
                <c:pt idx="28">
                  <c:v>143.76139903054801</c:v>
                </c:pt>
                <c:pt idx="29">
                  <c:v>145.19901302085347</c:v>
                </c:pt>
                <c:pt idx="30">
                  <c:v>146.65100315106201</c:v>
                </c:pt>
                <c:pt idx="31">
                  <c:v>148.11751318257262</c:v>
                </c:pt>
                <c:pt idx="32">
                  <c:v>149.59868831439834</c:v>
                </c:pt>
                <c:pt idx="33">
                  <c:v>151.09467519754233</c:v>
                </c:pt>
                <c:pt idx="34">
                  <c:v>152.60562194951777</c:v>
                </c:pt>
                <c:pt idx="35">
                  <c:v>154.13167816901293</c:v>
                </c:pt>
                <c:pt idx="36">
                  <c:v>155.67299495070307</c:v>
                </c:pt>
                <c:pt idx="37">
                  <c:v>157.2297249002101</c:v>
                </c:pt>
                <c:pt idx="38">
                  <c:v>158.80202214921221</c:v>
                </c:pt>
                <c:pt idx="39">
                  <c:v>160.39004237070432</c:v>
                </c:pt>
                <c:pt idx="40">
                  <c:v>161.99394279441134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53-40FE-A2A4-224903F08BBA}"/>
            </c:ext>
          </c:extLst>
        </c:ser>
        <c:ser>
          <c:idx val="4"/>
          <c:order val="4"/>
          <c:tx>
            <c:strRef>
              <c:f>'Baseline scenario'!$A$68</c:f>
              <c:strCache>
                <c:ptCount val="1"/>
                <c:pt idx="0">
                  <c:v>NGV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scenario'!$C$68:$AQ$68</c:f>
              <c:numCache>
                <c:formatCode>0</c:formatCode>
                <c:ptCount val="41"/>
                <c:pt idx="0">
                  <c:v>0.55555555555555558</c:v>
                </c:pt>
                <c:pt idx="1">
                  <c:v>3.0555555555555554</c:v>
                </c:pt>
                <c:pt idx="2">
                  <c:v>6.3888888888888884</c:v>
                </c:pt>
                <c:pt idx="3">
                  <c:v>10</c:v>
                </c:pt>
                <c:pt idx="4">
                  <c:v>18.333333333333332</c:v>
                </c:pt>
                <c:pt idx="5">
                  <c:v>32.222222222222214</c:v>
                </c:pt>
                <c:pt idx="6">
                  <c:v>48.055555555555564</c:v>
                </c:pt>
                <c:pt idx="7">
                  <c:v>54.444444444444443</c:v>
                </c:pt>
                <c:pt idx="8">
                  <c:v>82.777777777777771</c:v>
                </c:pt>
                <c:pt idx="9">
                  <c:v>106.94444444444444</c:v>
                </c:pt>
                <c:pt idx="10">
                  <c:v>180.83333333333334</c:v>
                </c:pt>
                <c:pt idx="11">
                  <c:v>200</c:v>
                </c:pt>
                <c:pt idx="12">
                  <c:v>202</c:v>
                </c:pt>
                <c:pt idx="13">
                  <c:v>204.01999999999998</c:v>
                </c:pt>
                <c:pt idx="14">
                  <c:v>206.06020000000001</c:v>
                </c:pt>
                <c:pt idx="15">
                  <c:v>208.12080200000003</c:v>
                </c:pt>
                <c:pt idx="16">
                  <c:v>210.20201002000002</c:v>
                </c:pt>
                <c:pt idx="17">
                  <c:v>212.30403012020003</c:v>
                </c:pt>
                <c:pt idx="18">
                  <c:v>214.42707042140202</c:v>
                </c:pt>
                <c:pt idx="19">
                  <c:v>216.57134112561604</c:v>
                </c:pt>
                <c:pt idx="20">
                  <c:v>218.73705453687222</c:v>
                </c:pt>
                <c:pt idx="21">
                  <c:v>220.92442508224093</c:v>
                </c:pt>
                <c:pt idx="22">
                  <c:v>223.13366933306332</c:v>
                </c:pt>
                <c:pt idx="23">
                  <c:v>225.36500602639396</c:v>
                </c:pt>
                <c:pt idx="24">
                  <c:v>227.61865608665789</c:v>
                </c:pt>
                <c:pt idx="25">
                  <c:v>229.89484264752448</c:v>
                </c:pt>
                <c:pt idx="26">
                  <c:v>232.19379107399971</c:v>
                </c:pt>
                <c:pt idx="27">
                  <c:v>234.5157289847397</c:v>
                </c:pt>
                <c:pt idx="28">
                  <c:v>236.86088627458707</c:v>
                </c:pt>
                <c:pt idx="29">
                  <c:v>239.22949513733295</c:v>
                </c:pt>
                <c:pt idx="30">
                  <c:v>241.62179008870626</c:v>
                </c:pt>
                <c:pt idx="31">
                  <c:v>244.03800798959332</c:v>
                </c:pt>
                <c:pt idx="32">
                  <c:v>246.47838806948926</c:v>
                </c:pt>
                <c:pt idx="33">
                  <c:v>248.94317195018417</c:v>
                </c:pt>
                <c:pt idx="34">
                  <c:v>251.43260366968599</c:v>
                </c:pt>
                <c:pt idx="35">
                  <c:v>253.94692970638286</c:v>
                </c:pt>
                <c:pt idx="36">
                  <c:v>256.48639900344665</c:v>
                </c:pt>
                <c:pt idx="37">
                  <c:v>259.05126299348115</c:v>
                </c:pt>
                <c:pt idx="38">
                  <c:v>261.64177562341592</c:v>
                </c:pt>
                <c:pt idx="39">
                  <c:v>264.25819337965009</c:v>
                </c:pt>
                <c:pt idx="40">
                  <c:v>266.90077531344656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53-40FE-A2A4-224903F08BBA}"/>
            </c:ext>
          </c:extLst>
        </c:ser>
        <c:ser>
          <c:idx val="5"/>
          <c:order val="5"/>
          <c:tx>
            <c:strRef>
              <c:f>'Baseline scenario'!$A$69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scenario'!$C$69:$AQ$69</c:f>
              <c:numCache>
                <c:formatCode>0</c:formatCode>
                <c:ptCount val="41"/>
                <c:pt idx="0">
                  <c:v>0.55555555555555558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0.55555555555555558</c:v>
                </c:pt>
                <c:pt idx="4">
                  <c:v>0.55555555555555558</c:v>
                </c:pt>
                <c:pt idx="5">
                  <c:v>0.55555555555555558</c:v>
                </c:pt>
                <c:pt idx="6">
                  <c:v>0.55555555555555558</c:v>
                </c:pt>
                <c:pt idx="7">
                  <c:v>0.55555555555555558</c:v>
                </c:pt>
                <c:pt idx="8">
                  <c:v>0.55555555555555558</c:v>
                </c:pt>
                <c:pt idx="9">
                  <c:v>59.999999999999993</c:v>
                </c:pt>
                <c:pt idx="10">
                  <c:v>97.5</c:v>
                </c:pt>
                <c:pt idx="11">
                  <c:v>137.5</c:v>
                </c:pt>
                <c:pt idx="12">
                  <c:v>140.26375000000002</c:v>
                </c:pt>
                <c:pt idx="13">
                  <c:v>143.083051375</c:v>
                </c:pt>
                <c:pt idx="14">
                  <c:v>145.95902070763751</c:v>
                </c:pt>
                <c:pt idx="15">
                  <c:v>148.89279702386102</c:v>
                </c:pt>
                <c:pt idx="16">
                  <c:v>151.88554224404064</c:v>
                </c:pt>
                <c:pt idx="17">
                  <c:v>154.93844164314586</c:v>
                </c:pt>
                <c:pt idx="18">
                  <c:v>158.05270432017309</c:v>
                </c:pt>
                <c:pt idx="19">
                  <c:v>161.22956367700857</c:v>
                </c:pt>
                <c:pt idx="20">
                  <c:v>164.47027790691646</c:v>
                </c:pt>
                <c:pt idx="21">
                  <c:v>167.77613049284548</c:v>
                </c:pt>
                <c:pt idx="22">
                  <c:v>171.14843071575169</c:v>
                </c:pt>
                <c:pt idx="23">
                  <c:v>174.58851417313829</c:v>
                </c:pt>
                <c:pt idx="24">
                  <c:v>178.09774330801835</c:v>
                </c:pt>
                <c:pt idx="25">
                  <c:v>181.67750794850951</c:v>
                </c:pt>
                <c:pt idx="26">
                  <c:v>185.32922585827453</c:v>
                </c:pt>
                <c:pt idx="27">
                  <c:v>189.05434329802586</c:v>
                </c:pt>
                <c:pt idx="28">
                  <c:v>192.85433559831617</c:v>
                </c:pt>
                <c:pt idx="29">
                  <c:v>196.73070774384229</c:v>
                </c:pt>
                <c:pt idx="30">
                  <c:v>200.68499496949352</c:v>
                </c:pt>
                <c:pt idx="31">
                  <c:v>204.71876336838034</c:v>
                </c:pt>
                <c:pt idx="32">
                  <c:v>208.83361051208479</c:v>
                </c:pt>
                <c:pt idx="33">
                  <c:v>213.03116608337768</c:v>
                </c:pt>
                <c:pt idx="34">
                  <c:v>217.31309252165354</c:v>
                </c:pt>
                <c:pt idx="35">
                  <c:v>221.6810856813388</c:v>
                </c:pt>
                <c:pt idx="36">
                  <c:v>226.13687550353367</c:v>
                </c:pt>
                <c:pt idx="37">
                  <c:v>230.68222670115472</c:v>
                </c:pt>
                <c:pt idx="38">
                  <c:v>235.3189394578479</c:v>
                </c:pt>
                <c:pt idx="39">
                  <c:v>240.04885014095063</c:v>
                </c:pt>
                <c:pt idx="40">
                  <c:v>244.87383202878374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53-40FE-A2A4-224903F08BBA}"/>
            </c:ext>
          </c:extLst>
        </c:ser>
        <c:ser>
          <c:idx val="6"/>
          <c:order val="6"/>
          <c:tx>
            <c:strRef>
              <c:f>'Baseline scenario'!$A$70</c:f>
              <c:strCache>
                <c:ptCount val="1"/>
                <c:pt idx="0">
                  <c:v>Bioethanol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scenario'!$C$70:$AQ$70</c:f>
              <c:numCache>
                <c:formatCode>0</c:formatCode>
                <c:ptCount val="41"/>
                <c:pt idx="0">
                  <c:v>46.52</c:v>
                </c:pt>
                <c:pt idx="1">
                  <c:v>46.52</c:v>
                </c:pt>
                <c:pt idx="2">
                  <c:v>46.52</c:v>
                </c:pt>
                <c:pt idx="3">
                  <c:v>34.89</c:v>
                </c:pt>
                <c:pt idx="4">
                  <c:v>58.15</c:v>
                </c:pt>
                <c:pt idx="5">
                  <c:v>34.89</c:v>
                </c:pt>
                <c:pt idx="6">
                  <c:v>22.222222222222221</c:v>
                </c:pt>
                <c:pt idx="7">
                  <c:v>11.111111111111111</c:v>
                </c:pt>
                <c:pt idx="8">
                  <c:v>56.944444444444443</c:v>
                </c:pt>
                <c:pt idx="9">
                  <c:v>85.833333333333329</c:v>
                </c:pt>
                <c:pt idx="10">
                  <c:v>71.944444444444443</c:v>
                </c:pt>
                <c:pt idx="11">
                  <c:v>49.166666666666664</c:v>
                </c:pt>
                <c:pt idx="12">
                  <c:v>48.168583333333331</c:v>
                </c:pt>
                <c:pt idx="13">
                  <c:v>47.190761091666658</c:v>
                </c:pt>
                <c:pt idx="14">
                  <c:v>46.232788641505827</c:v>
                </c:pt>
                <c:pt idx="15">
                  <c:v>45.294263032083258</c:v>
                </c:pt>
                <c:pt idx="16">
                  <c:v>44.374789492531967</c:v>
                </c:pt>
                <c:pt idx="17">
                  <c:v>43.473981265833565</c:v>
                </c:pt>
                <c:pt idx="18">
                  <c:v>42.591459446137144</c:v>
                </c:pt>
                <c:pt idx="19">
                  <c:v>41.726852819380561</c:v>
                </c:pt>
                <c:pt idx="20">
                  <c:v>40.879797707147134</c:v>
                </c:pt>
                <c:pt idx="21">
                  <c:v>40.049937813692047</c:v>
                </c:pt>
                <c:pt idx="22">
                  <c:v>39.236924076074096</c:v>
                </c:pt>
                <c:pt idx="23">
                  <c:v>38.440414517329792</c:v>
                </c:pt>
                <c:pt idx="24">
                  <c:v>37.660074102627995</c:v>
                </c:pt>
                <c:pt idx="25">
                  <c:v>36.895574598344645</c:v>
                </c:pt>
                <c:pt idx="26">
                  <c:v>36.146594433998246</c:v>
                </c:pt>
                <c:pt idx="27">
                  <c:v>35.412818566988079</c:v>
                </c:pt>
                <c:pt idx="28">
                  <c:v>34.69393835007822</c:v>
                </c:pt>
                <c:pt idx="29">
                  <c:v>33.989651401571628</c:v>
                </c:pt>
                <c:pt idx="30">
                  <c:v>33.299661478119724</c:v>
                </c:pt>
                <c:pt idx="31">
                  <c:v>32.623678350113892</c:v>
                </c:pt>
                <c:pt idx="32">
                  <c:v>31.961417679606576</c:v>
                </c:pt>
                <c:pt idx="33">
                  <c:v>31.312600900710564</c:v>
                </c:pt>
                <c:pt idx="34">
                  <c:v>30.676955102426135</c:v>
                </c:pt>
                <c:pt idx="35">
                  <c:v>30.054212913846882</c:v>
                </c:pt>
                <c:pt idx="36">
                  <c:v>29.444112391695789</c:v>
                </c:pt>
                <c:pt idx="37">
                  <c:v>28.84639691014436</c:v>
                </c:pt>
                <c:pt idx="38">
                  <c:v>28.260815052868431</c:v>
                </c:pt>
                <c:pt idx="39">
                  <c:v>27.687120507295198</c:v>
                </c:pt>
                <c:pt idx="40">
                  <c:v>27.125071960997104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53-40FE-A2A4-224903F08BBA}"/>
            </c:ext>
          </c:extLst>
        </c:ser>
        <c:ser>
          <c:idx val="7"/>
          <c:order val="7"/>
          <c:tx>
            <c:strRef>
              <c:f>'Baseline scenario'!$A$71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scenario'!$C$71:$AQ$71</c:f>
              <c:numCache>
                <c:formatCode>0</c:formatCode>
                <c:ptCount val="41"/>
                <c:pt idx="0">
                  <c:v>37.777777777777779</c:v>
                </c:pt>
                <c:pt idx="1">
                  <c:v>7.4999999999999991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17.5</c:v>
                </c:pt>
                <c:pt idx="8">
                  <c:v>146.11111111111111</c:v>
                </c:pt>
                <c:pt idx="9">
                  <c:v>232.77777777777777</c:v>
                </c:pt>
                <c:pt idx="10">
                  <c:v>380.83333333333326</c:v>
                </c:pt>
                <c:pt idx="11">
                  <c:v>434.44444444444446</c:v>
                </c:pt>
                <c:pt idx="12">
                  <c:v>440.98283333333325</c:v>
                </c:pt>
                <c:pt idx="13">
                  <c:v>447.61962497499985</c:v>
                </c:pt>
                <c:pt idx="14">
                  <c:v>454.35630033087364</c:v>
                </c:pt>
                <c:pt idx="15">
                  <c:v>461.19436265085324</c:v>
                </c:pt>
                <c:pt idx="16">
                  <c:v>468.13533780874855</c:v>
                </c:pt>
                <c:pt idx="17">
                  <c:v>475.18077464277019</c:v>
                </c:pt>
                <c:pt idx="18">
                  <c:v>482.33224530114381</c:v>
                </c:pt>
                <c:pt idx="19">
                  <c:v>489.59134559292602</c:v>
                </c:pt>
                <c:pt idx="20">
                  <c:v>496.95969534409949</c:v>
                </c:pt>
                <c:pt idx="21">
                  <c:v>504.43893875902813</c:v>
                </c:pt>
                <c:pt idx="22">
                  <c:v>512.03074478735141</c:v>
                </c:pt>
                <c:pt idx="23">
                  <c:v>519.73680749640096</c:v>
                </c:pt>
                <c:pt idx="24">
                  <c:v>527.55884644922173</c:v>
                </c:pt>
                <c:pt idx="25">
                  <c:v>535.49860708828248</c:v>
                </c:pt>
                <c:pt idx="26">
                  <c:v>543.55786112496105</c:v>
                </c:pt>
                <c:pt idx="27">
                  <c:v>551.7384069348916</c:v>
                </c:pt>
                <c:pt idx="28">
                  <c:v>560.04206995926154</c:v>
                </c:pt>
                <c:pt idx="29">
                  <c:v>568.47070311214839</c:v>
                </c:pt>
                <c:pt idx="30">
                  <c:v>577.02618719398617</c:v>
                </c:pt>
                <c:pt idx="31">
                  <c:v>585.71043131125566</c:v>
                </c:pt>
                <c:pt idx="32">
                  <c:v>594.52537330248992</c:v>
                </c:pt>
                <c:pt idx="33">
                  <c:v>603.47298017069238</c:v>
                </c:pt>
                <c:pt idx="34">
                  <c:v>612.55524852226119</c:v>
                </c:pt>
                <c:pt idx="35">
                  <c:v>621.77420501252118</c:v>
                </c:pt>
                <c:pt idx="36">
                  <c:v>631.13190679795957</c:v>
                </c:pt>
                <c:pt idx="37">
                  <c:v>640.63044199526871</c:v>
                </c:pt>
                <c:pt idx="38">
                  <c:v>650.27193014729744</c:v>
                </c:pt>
                <c:pt idx="39">
                  <c:v>660.05852269601417</c:v>
                </c:pt>
                <c:pt idx="40">
                  <c:v>669.9924034625891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53-40FE-A2A4-224903F08BBA}"/>
            </c:ext>
          </c:extLst>
        </c:ser>
        <c:ser>
          <c:idx val="8"/>
          <c:order val="8"/>
          <c:tx>
            <c:strRef>
              <c:f>'Baseline scenario'!$A$72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'Baseline scenario'!$C$63:$AQ$63</c:f>
              <c:numCache>
                <c:formatCode>0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'Baseline scenario'!$C$72:$AQ$72</c:f>
              <c:numCache>
                <c:formatCode>0</c:formatCode>
                <c:ptCount val="41"/>
                <c:pt idx="0">
                  <c:v>37.055555555555557</c:v>
                </c:pt>
                <c:pt idx="1">
                  <c:v>34</c:v>
                </c:pt>
                <c:pt idx="2">
                  <c:v>34</c:v>
                </c:pt>
                <c:pt idx="3">
                  <c:v>36</c:v>
                </c:pt>
                <c:pt idx="4">
                  <c:v>25</c:v>
                </c:pt>
                <c:pt idx="5">
                  <c:v>23</c:v>
                </c:pt>
                <c:pt idx="6">
                  <c:v>23</c:v>
                </c:pt>
                <c:pt idx="7">
                  <c:v>29</c:v>
                </c:pt>
                <c:pt idx="8">
                  <c:v>27</c:v>
                </c:pt>
                <c:pt idx="9">
                  <c:v>29</c:v>
                </c:pt>
                <c:pt idx="10">
                  <c:v>25.833333333333336</c:v>
                </c:pt>
                <c:pt idx="11">
                  <c:v>30</c:v>
                </c:pt>
                <c:pt idx="12">
                  <c:v>66.227944444446607</c:v>
                </c:pt>
                <c:pt idx="13">
                  <c:v>100.81186421388905</c:v>
                </c:pt>
                <c:pt idx="14">
                  <c:v>133.7565453513858</c:v>
                </c:pt>
                <c:pt idx="15">
                  <c:v>165.06609167139371</c:v>
                </c:pt>
                <c:pt idx="16">
                  <c:v>194.74392814096424</c:v>
                </c:pt>
                <c:pt idx="17">
                  <c:v>222.79280401577219</c:v>
                </c:pt>
                <c:pt idx="18">
                  <c:v>249.2147957331502</c:v>
                </c:pt>
                <c:pt idx="19">
                  <c:v>274.0113095640852</c:v>
                </c:pt>
                <c:pt idx="20">
                  <c:v>297.18308402608079</c:v>
                </c:pt>
                <c:pt idx="21">
                  <c:v>318.73019205873152</c:v>
                </c:pt>
                <c:pt idx="22">
                  <c:v>338.6520429637207</c:v>
                </c:pt>
                <c:pt idx="23">
                  <c:v>356.94738411088809</c:v>
                </c:pt>
                <c:pt idx="24">
                  <c:v>373.61430241196371</c:v>
                </c:pt>
                <c:pt idx="25">
                  <c:v>388.65022556339983</c:v>
                </c:pt>
                <c:pt idx="26">
                  <c:v>402.0519230597468</c:v>
                </c:pt>
                <c:pt idx="27">
                  <c:v>413.81550697887144</c:v>
                </c:pt>
                <c:pt idx="28">
                  <c:v>423.93643254023584</c:v>
                </c:pt>
                <c:pt idx="29">
                  <c:v>432.40949843743294</c:v>
                </c:pt>
                <c:pt idx="30">
                  <c:v>439.22884694601748</c:v>
                </c:pt>
                <c:pt idx="31">
                  <c:v>444.38796380765939</c:v>
                </c:pt>
                <c:pt idx="32">
                  <c:v>447.87967789152435</c:v>
                </c:pt>
                <c:pt idx="33">
                  <c:v>449.69616063372433</c:v>
                </c:pt>
                <c:pt idx="34">
                  <c:v>449.82892525562937</c:v>
                </c:pt>
                <c:pt idx="35">
                  <c:v>448.26882576167526</c:v>
                </c:pt>
                <c:pt idx="36">
                  <c:v>445.00605571737242</c:v>
                </c:pt>
                <c:pt idx="37">
                  <c:v>440.03014680794911</c:v>
                </c:pt>
                <c:pt idx="38">
                  <c:v>433.32996717818844</c:v>
                </c:pt>
                <c:pt idx="39">
                  <c:v>424.89371955379147</c:v>
                </c:pt>
                <c:pt idx="40">
                  <c:v>414.70893914460953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E53-40FE-A2A4-224903F08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8662696"/>
        <c:axId val="512281544"/>
      </c:barChart>
      <c:catAx>
        <c:axId val="2118662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12281544"/>
        <c:crosses val="autoZero"/>
        <c:auto val="1"/>
        <c:lblAlgn val="ctr"/>
        <c:lblOffset val="100"/>
        <c:noMultiLvlLbl val="0"/>
      </c:catAx>
      <c:valAx>
        <c:axId val="51228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1866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'Baseline scenario'!$B$48</c:f>
              <c:strCache>
                <c:ptCount val="1"/>
                <c:pt idx="0">
                  <c:v>Oil products consumption of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scenario'!$C$48:$I$48</c:f>
              <c:numCache>
                <c:formatCode>0</c:formatCode>
                <c:ptCount val="7"/>
                <c:pt idx="0" formatCode="#,##0">
                  <c:v>749.44444444444446</c:v>
                </c:pt>
                <c:pt idx="1">
                  <c:v>526.05034140639748</c:v>
                </c:pt>
                <c:pt idx="2">
                  <c:v>563.87775133680805</c:v>
                </c:pt>
                <c:pt idx="3">
                  <c:v>604.42526774641556</c:v>
                </c:pt>
                <c:pt idx="4">
                  <c:v>640.12357270841619</c:v>
                </c:pt>
                <c:pt idx="5">
                  <c:v>655.79787446600767</c:v>
                </c:pt>
                <c:pt idx="6">
                  <c:v>638.49387376728862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C-4509-92BD-A85CAB77E2B6}"/>
            </c:ext>
          </c:extLst>
        </c:ser>
        <c:ser>
          <c:idx val="1"/>
          <c:order val="1"/>
          <c:tx>
            <c:strRef>
              <c:f>'Baseline scenario'!$B$49</c:f>
              <c:strCache>
                <c:ptCount val="1"/>
                <c:pt idx="0">
                  <c:v>Gas consumption of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scenario'!$C$49:$I$49</c:f>
              <c:numCache>
                <c:formatCode>0</c:formatCode>
                <c:ptCount val="7"/>
                <c:pt idx="0" formatCode="#,##0">
                  <c:v>1101.3888888888889</c:v>
                </c:pt>
                <c:pt idx="1">
                  <c:v>1178.0506670835186</c:v>
                </c:pt>
                <c:pt idx="2">
                  <c:v>1206.8968499595396</c:v>
                </c:pt>
                <c:pt idx="3">
                  <c:v>1236.4493711024675</c:v>
                </c:pt>
                <c:pt idx="4">
                  <c:v>1266.7255261714699</c:v>
                </c:pt>
                <c:pt idx="5">
                  <c:v>1297.7430343336002</c:v>
                </c:pt>
                <c:pt idx="6">
                  <c:v>1278.9759006971553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C-4509-92BD-A85CAB77E2B6}"/>
            </c:ext>
          </c:extLst>
        </c:ser>
        <c:ser>
          <c:idx val="2"/>
          <c:order val="2"/>
          <c:tx>
            <c:strRef>
              <c:f>'Baseline scenario'!$B$50</c:f>
              <c:strCache>
                <c:ptCount val="1"/>
                <c:pt idx="0">
                  <c:v>Coal consumption of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scenario'!$C$50:$I$50</c:f>
              <c:numCache>
                <c:formatCode>0</c:formatCode>
                <c:ptCount val="7"/>
                <c:pt idx="0" formatCode="#,##0">
                  <c:v>118.05555555555556</c:v>
                </c:pt>
                <c:pt idx="1">
                  <c:v>12.244736404381246</c:v>
                </c:pt>
                <c:pt idx="2">
                  <c:v>14.77398569944706</c:v>
                </c:pt>
                <c:pt idx="3">
                  <c:v>8.5263098933736536</c:v>
                </c:pt>
                <c:pt idx="4">
                  <c:v>0</c:v>
                </c:pt>
                <c:pt idx="5">
                  <c:v>1.3193507624101268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C-4509-92BD-A85CAB77E2B6}"/>
            </c:ext>
          </c:extLst>
        </c:ser>
        <c:ser>
          <c:idx val="3"/>
          <c:order val="3"/>
          <c:tx>
            <c:strRef>
              <c:f>'Baseline scenario'!$B$51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scenario'!$C$51:$I$51</c:f>
              <c:numCache>
                <c:formatCode>0</c:formatCode>
                <c:ptCount val="7"/>
                <c:pt idx="0" formatCode="#,##0">
                  <c:v>217.5</c:v>
                </c:pt>
                <c:pt idx="1">
                  <c:v>188.81738047472001</c:v>
                </c:pt>
                <c:pt idx="2">
                  <c:v>224.58101395376335</c:v>
                </c:pt>
                <c:pt idx="3">
                  <c:v>267.11858676194902</c:v>
                </c:pt>
                <c:pt idx="4">
                  <c:v>317.71314118472577</c:v>
                </c:pt>
                <c:pt idx="5">
                  <c:v>377.89073873553696</c:v>
                </c:pt>
                <c:pt idx="6">
                  <c:v>432.37919546977753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5C-4509-92BD-A85CAB77E2B6}"/>
            </c:ext>
          </c:extLst>
        </c:ser>
        <c:ser>
          <c:idx val="4"/>
          <c:order val="4"/>
          <c:tx>
            <c:strRef>
              <c:f>'Baseline scenario'!$B$52</c:f>
              <c:strCache>
                <c:ptCount val="1"/>
                <c:pt idx="0">
                  <c:v>Heat final consumption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scenario'!$C$52:$I$52</c:f>
              <c:numCache>
                <c:formatCode>0</c:formatCode>
                <c:ptCount val="7"/>
                <c:pt idx="0" formatCode="#,##0">
                  <c:v>430</c:v>
                </c:pt>
                <c:pt idx="1">
                  <c:v>489.74653546290438</c:v>
                </c:pt>
                <c:pt idx="2">
                  <c:v>501.73864965595129</c:v>
                </c:pt>
                <c:pt idx="3">
                  <c:v>514.02440717754791</c:v>
                </c:pt>
                <c:pt idx="4">
                  <c:v>526.61099828647718</c:v>
                </c:pt>
                <c:pt idx="5">
                  <c:v>539.50578930484926</c:v>
                </c:pt>
                <c:pt idx="6">
                  <c:v>531.70380002218735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5C-4509-92BD-A85CAB77E2B6}"/>
            </c:ext>
          </c:extLst>
        </c:ser>
        <c:ser>
          <c:idx val="5"/>
          <c:order val="5"/>
          <c:tx>
            <c:strRef>
              <c:f>'Baseline scenario'!$B$53</c:f>
              <c:strCache>
                <c:ptCount val="1"/>
                <c:pt idx="0">
                  <c:v>Electricity final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'Baseline scenario'!$C$47:$I$47</c:f>
              <c:strCach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'Baseline scenario'!$C$53:$I$53</c:f>
              <c:numCache>
                <c:formatCode>0</c:formatCode>
                <c:ptCount val="7"/>
                <c:pt idx="0">
                  <c:v>2128.8888888888887</c:v>
                </c:pt>
                <c:pt idx="1">
                  <c:v>2502.9507877961887</c:v>
                </c:pt>
                <c:pt idx="2">
                  <c:v>2764.4760434899413</c:v>
                </c:pt>
                <c:pt idx="3">
                  <c:v>3053.3272297210278</c:v>
                </c:pt>
                <c:pt idx="4">
                  <c:v>3372.3595448440014</c:v>
                </c:pt>
                <c:pt idx="5">
                  <c:v>3724.7265176813494</c:v>
                </c:pt>
                <c:pt idx="6">
                  <c:v>3957.5132854137091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5C-4509-92BD-A85CAB77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639079"/>
        <c:axId val="1176600311"/>
      </c:barChart>
      <c:catAx>
        <c:axId val="1946639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76600311"/>
        <c:crosses val="autoZero"/>
        <c:auto val="1"/>
        <c:lblAlgn val="ctr"/>
        <c:lblOffset val="100"/>
        <c:noMultiLvlLbl val="0"/>
      </c:catAx>
      <c:valAx>
        <c:axId val="1176600311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6639079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200" b="1"/>
              <a:t>Baseline scenario of Final Energy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'Baseline scenario'!$B$184</c:f>
              <c:strCache>
                <c:ptCount val="1"/>
                <c:pt idx="0">
                  <c:v>Residental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scenario'!$C$183:$I$183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scenario'!$C$184:$I$184</c:f>
              <c:numCache>
                <c:formatCode>0.0</c:formatCode>
                <c:ptCount val="7"/>
                <c:pt idx="0">
                  <c:v>0</c:v>
                </c:pt>
                <c:pt idx="1">
                  <c:v>-3.605164172267533E-9</c:v>
                </c:pt>
                <c:pt idx="2">
                  <c:v>-2.0018027821032825E-7</c:v>
                </c:pt>
                <c:pt idx="3">
                  <c:v>-3.7877153545498571E-7</c:v>
                </c:pt>
                <c:pt idx="4">
                  <c:v>-5.9333050628644951E-7</c:v>
                </c:pt>
                <c:pt idx="5">
                  <c:v>-7.1197557421976348E-7</c:v>
                </c:pt>
                <c:pt idx="6">
                  <c:v>-8.7857759360215231E-7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9-438F-B09F-6BD63CA78439}"/>
            </c:ext>
          </c:extLst>
        </c:ser>
        <c:ser>
          <c:idx val="1"/>
          <c:order val="1"/>
          <c:tx>
            <c:strRef>
              <c:f>'Baseline scenario'!$B$185</c:f>
              <c:strCache>
                <c:ptCount val="1"/>
                <c:pt idx="0">
                  <c:v>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scenario'!$C$183:$I$183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scenario'!$C$185:$I$185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B9-438F-B09F-6BD63CA78439}"/>
            </c:ext>
          </c:extLst>
        </c:ser>
        <c:ser>
          <c:idx val="2"/>
          <c:order val="2"/>
          <c:tx>
            <c:strRef>
              <c:f>'Baseline scenario'!$B$186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scenario'!$C$183:$I$183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scenario'!$C$186:$I$186</c:f>
              <c:numCache>
                <c:formatCode>0.0</c:formatCode>
                <c:ptCount val="7"/>
                <c:pt idx="0">
                  <c:v>9.1777777777777789</c:v>
                </c:pt>
                <c:pt idx="1">
                  <c:v>10.115538147208333</c:v>
                </c:pt>
                <c:pt idx="2">
                  <c:v>10.631532254885894</c:v>
                </c:pt>
                <c:pt idx="3">
                  <c:v>11.173847247847387</c:v>
                </c:pt>
                <c:pt idx="4">
                  <c:v>11.743825755769826</c:v>
                </c:pt>
                <c:pt idx="5">
                  <c:v>12.342878895937316</c:v>
                </c:pt>
                <c:pt idx="6">
                  <c:v>12.97248976679731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B9-438F-B09F-6BD63CA78439}"/>
            </c:ext>
          </c:extLst>
        </c:ser>
        <c:ser>
          <c:idx val="3"/>
          <c:order val="3"/>
          <c:tx>
            <c:strRef>
              <c:f>'Baseline scenario'!$B$187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scenario'!$C$183:$I$183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scenario'!$C$187:$I$187</c:f>
              <c:numCache>
                <c:formatCode>0.0</c:formatCode>
                <c:ptCount val="7"/>
                <c:pt idx="0">
                  <c:v>4.745277777777777</c:v>
                </c:pt>
                <c:pt idx="1">
                  <c:v>4.8978604486281112</c:v>
                </c:pt>
                <c:pt idx="2">
                  <c:v>5.2763442940954501</c:v>
                </c:pt>
                <c:pt idx="3">
                  <c:v>5.6838711724027817</c:v>
                </c:pt>
                <c:pt idx="4">
                  <c:v>6.123532783195091</c:v>
                </c:pt>
                <c:pt idx="5">
                  <c:v>6.5969833052837528</c:v>
                </c:pt>
                <c:pt idx="6">
                  <c:v>6.8390660553701181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B9-438F-B09F-6BD63CA78439}"/>
            </c:ext>
          </c:extLst>
        </c:ser>
        <c:ser>
          <c:idx val="4"/>
          <c:order val="4"/>
          <c:tx>
            <c:strRef>
              <c:f>'Baseline scenario'!$B$188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scenario'!$C$183:$I$183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'Baseline scenario'!$C$188:$I$188</c:f>
              <c:numCache>
                <c:formatCode>0.0</c:formatCode>
                <c:ptCount val="7"/>
                <c:pt idx="0">
                  <c:v>1.2727777777777776</c:v>
                </c:pt>
                <c:pt idx="1">
                  <c:v>1.2600499999999997</c:v>
                </c:pt>
                <c:pt idx="2">
                  <c:v>1.2474494999999997</c:v>
                </c:pt>
                <c:pt idx="3">
                  <c:v>1.2349750049999997</c:v>
                </c:pt>
                <c:pt idx="4">
                  <c:v>1.2226252549499999</c:v>
                </c:pt>
                <c:pt idx="5">
                  <c:v>1.2103990024004998</c:v>
                </c:pt>
                <c:pt idx="6">
                  <c:v>1.1982950123764946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B9-438F-B09F-6BD63CA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0300327"/>
        <c:axId val="1480320007"/>
      </c:barChart>
      <c:catAx>
        <c:axId val="1480300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80320007"/>
        <c:crosses val="autoZero"/>
        <c:auto val="1"/>
        <c:lblAlgn val="ctr"/>
        <c:lblOffset val="100"/>
        <c:noMultiLvlLbl val="0"/>
      </c:catAx>
      <c:valAx>
        <c:axId val="1480320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8030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of sectors in final energy consumption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'Baseline scenario'!$B$214</c:f>
              <c:strCache>
                <c:ptCount val="1"/>
                <c:pt idx="0">
                  <c:v>Residental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scenario'!$C$213:$F$213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'Baseline scenario'!$C$214:$F$214</c:f>
              <c:numCache>
                <c:formatCode>0.0%</c:formatCode>
                <c:ptCount val="4"/>
                <c:pt idx="0">
                  <c:v>0</c:v>
                </c:pt>
                <c:pt idx="1">
                  <c:v>-1.1668695772649416E-8</c:v>
                </c:pt>
                <c:pt idx="2">
                  <c:v>-3.1080724380537205E-8</c:v>
                </c:pt>
                <c:pt idx="3">
                  <c:v>-4.1817413995984107E-8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2-44CA-878C-0A7633A8698D}"/>
            </c:ext>
          </c:extLst>
        </c:ser>
        <c:ser>
          <c:idx val="1"/>
          <c:order val="1"/>
          <c:tx>
            <c:strRef>
              <c:f>'Baseline scenario'!$B$215</c:f>
              <c:strCache>
                <c:ptCount val="1"/>
                <c:pt idx="0">
                  <c:v>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scenario'!$C$213:$F$213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'Baseline scenario'!$C$215:$F$215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2-44CA-878C-0A7633A8698D}"/>
            </c:ext>
          </c:extLst>
        </c:ser>
        <c:ser>
          <c:idx val="2"/>
          <c:order val="2"/>
          <c:tx>
            <c:strRef>
              <c:f>'Baseline scenario'!$B$216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scenario'!$C$213:$F$213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'Baseline scenario'!$C$216:$F$216</c:f>
              <c:numCache>
                <c:formatCode>0.0%</c:formatCode>
                <c:ptCount val="4"/>
                <c:pt idx="0">
                  <c:v>0.60396673064619322</c:v>
                </c:pt>
                <c:pt idx="1">
                  <c:v>0.61972196556260106</c:v>
                </c:pt>
                <c:pt idx="2">
                  <c:v>0.61518261343521286</c:v>
                </c:pt>
                <c:pt idx="3">
                  <c:v>0.61744799672467021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2-44CA-878C-0A7633A8698D}"/>
            </c:ext>
          </c:extLst>
        </c:ser>
        <c:ser>
          <c:idx val="3"/>
          <c:order val="3"/>
          <c:tx>
            <c:strRef>
              <c:f>'Baseline scenario'!$B$217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scenario'!$C$213:$F$213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'Baseline scenario'!$C$217:$F$217</c:f>
              <c:numCache>
                <c:formatCode>0.0%</c:formatCode>
                <c:ptCount val="4"/>
                <c:pt idx="0">
                  <c:v>0.31227492916552407</c:v>
                </c:pt>
                <c:pt idx="1">
                  <c:v>0.30756304721919331</c:v>
                </c:pt>
                <c:pt idx="2">
                  <c:v>0.32077203624818429</c:v>
                </c:pt>
                <c:pt idx="3">
                  <c:v>0.32551712980834385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2-44CA-878C-0A7633A8698D}"/>
            </c:ext>
          </c:extLst>
        </c:ser>
        <c:ser>
          <c:idx val="4"/>
          <c:order val="4"/>
          <c:tx>
            <c:strRef>
              <c:f>'Baseline scenario'!$B$218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'Baseline scenario'!$C$213:$F$213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'Baseline scenario'!$C$218:$F$218</c:f>
              <c:numCache>
                <c:formatCode>0.0%</c:formatCode>
                <c:ptCount val="4"/>
                <c:pt idx="0">
                  <c:v>8.3758340188282585E-2</c:v>
                </c:pt>
                <c:pt idx="1">
                  <c:v>7.2714998886901361E-2</c:v>
                </c:pt>
                <c:pt idx="2">
                  <c:v>6.4045381397327322E-2</c:v>
                </c:pt>
                <c:pt idx="3">
                  <c:v>5.7034915284400002E-2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2-44CA-878C-0A7633A8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269327"/>
        <c:axId val="1714618319"/>
      </c:barChart>
      <c:catAx>
        <c:axId val="187126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14618319"/>
        <c:crosses val="autoZero"/>
        <c:auto val="1"/>
        <c:lblAlgn val="ctr"/>
        <c:lblOffset val="100"/>
        <c:noMultiLvlLbl val="0"/>
      </c:catAx>
      <c:valAx>
        <c:axId val="171461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7126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Transport (GWh)'!$A$14:$B$14</c:f>
              <c:strCache>
                <c:ptCount val="2"/>
                <c:pt idx="0">
                  <c:v>Stock of motor gasoline cars</c:v>
                </c:pt>
                <c:pt idx="1">
                  <c:v>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 Transport (GWh)'!$C$14:$N$14</c:f>
              <c:numCache>
                <c:formatCode>#\ ##0.0</c:formatCode>
                <c:ptCount val="12"/>
                <c:pt idx="0">
                  <c:v>415.57799999999997</c:v>
                </c:pt>
                <c:pt idx="1">
                  <c:v>420</c:v>
                </c:pt>
                <c:pt idx="2">
                  <c:v>424.3</c:v>
                </c:pt>
                <c:pt idx="3">
                  <c:v>426.4</c:v>
                </c:pt>
                <c:pt idx="4">
                  <c:v>429</c:v>
                </c:pt>
                <c:pt idx="5">
                  <c:v>434.1</c:v>
                </c:pt>
                <c:pt idx="6">
                  <c:v>443.1</c:v>
                </c:pt>
                <c:pt idx="7">
                  <c:v>449.3</c:v>
                </c:pt>
                <c:pt idx="8">
                  <c:v>453</c:v>
                </c:pt>
                <c:pt idx="9">
                  <c:v>477.2</c:v>
                </c:pt>
                <c:pt idx="10">
                  <c:v>478.1</c:v>
                </c:pt>
                <c:pt idx="11">
                  <c:v>480.3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1-4A44-83CF-EFE5C2CEC84C}"/>
            </c:ext>
          </c:extLst>
        </c:ser>
        <c:ser>
          <c:idx val="1"/>
          <c:order val="1"/>
          <c:tx>
            <c:strRef>
              <c:f>' Transport (GWh)'!$A$15:$B$15</c:f>
              <c:strCache>
                <c:ptCount val="2"/>
                <c:pt idx="0">
                  <c:v>Stock of diesel oil cars</c:v>
                </c:pt>
                <c:pt idx="1">
                  <c:v>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 Transport (GWh)'!$C$15:$N$15</c:f>
              <c:numCache>
                <c:formatCode>#\ ##0.0</c:formatCode>
                <c:ptCount val="12"/>
                <c:pt idx="0">
                  <c:v>137.08199999999999</c:v>
                </c:pt>
                <c:pt idx="1">
                  <c:v>154</c:v>
                </c:pt>
                <c:pt idx="2">
                  <c:v>177.2</c:v>
                </c:pt>
                <c:pt idx="3">
                  <c:v>201.3</c:v>
                </c:pt>
                <c:pt idx="4">
                  <c:v>222.7</c:v>
                </c:pt>
                <c:pt idx="5">
                  <c:v>241</c:v>
                </c:pt>
                <c:pt idx="6">
                  <c:v>258.39999999999998</c:v>
                </c:pt>
                <c:pt idx="7">
                  <c:v>274.8</c:v>
                </c:pt>
                <c:pt idx="8">
                  <c:v>291.60000000000002</c:v>
                </c:pt>
                <c:pt idx="9">
                  <c:v>315</c:v>
                </c:pt>
                <c:pt idx="10">
                  <c:v>326.7</c:v>
                </c:pt>
                <c:pt idx="11">
                  <c:v>340.6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1-4A44-83CF-EFE5C2CE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011960"/>
        <c:axId val="839375624"/>
      </c:lineChart>
      <c:catAx>
        <c:axId val="1810011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39375624"/>
        <c:crosses val="autoZero"/>
        <c:auto val="1"/>
        <c:lblAlgn val="ctr"/>
        <c:lblOffset val="100"/>
        <c:noMultiLvlLbl val="0"/>
      </c:catAx>
      <c:valAx>
        <c:axId val="83937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1001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 energy use in Households, in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'Baseline scenario'!$B$131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'Baseline scenario'!$C$130:$J$130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scenario'!$C$131:$J$131</c:f>
              <c:numCache>
                <c:formatCode>0.00</c:formatCode>
                <c:ptCount val="8"/>
                <c:pt idx="0">
                  <c:v>8.92</c:v>
                </c:pt>
                <c:pt idx="1">
                  <c:v>9.0059794252665597</c:v>
                </c:pt>
                <c:pt idx="2">
                  <c:v>8.7452837689388137</c:v>
                </c:pt>
                <c:pt idx="3">
                  <c:v>8.5295417668263873</c:v>
                </c:pt>
                <c:pt idx="4">
                  <c:v>8.3437688675242079</c:v>
                </c:pt>
                <c:pt idx="5">
                  <c:v>8.1579959682221741</c:v>
                </c:pt>
                <c:pt idx="6">
                  <c:v>7.9722230689200035</c:v>
                </c:pt>
                <c:pt idx="7">
                  <c:v>7.7864501696178285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515-A451-38284C2ED4F4}"/>
            </c:ext>
          </c:extLst>
        </c:ser>
        <c:ser>
          <c:idx val="1"/>
          <c:order val="1"/>
          <c:tx>
            <c:strRef>
              <c:f>'Baseline scenario'!$B$132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'Baseline scenario'!$C$130:$J$130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scenario'!$C$132:$J$132</c:f>
              <c:numCache>
                <c:formatCode>0.00</c:formatCode>
                <c:ptCount val="8"/>
                <c:pt idx="0">
                  <c:v>1.9</c:v>
                </c:pt>
                <c:pt idx="1">
                  <c:v>1.9612246571781671</c:v>
                </c:pt>
                <c:pt idx="2">
                  <c:v>2.0034156858250611</c:v>
                </c:pt>
                <c:pt idx="3">
                  <c:v>2.0485083218103943</c:v>
                </c:pt>
                <c:pt idx="4">
                  <c:v>2.0955353626880466</c:v>
                </c:pt>
                <c:pt idx="5">
                  <c:v>2.1425624035656958</c:v>
                </c:pt>
                <c:pt idx="6">
                  <c:v>2.1895894444433428</c:v>
                </c:pt>
                <c:pt idx="7">
                  <c:v>2.236616485320992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1B-4515-A451-38284C2ED4F4}"/>
            </c:ext>
          </c:extLst>
        </c:ser>
        <c:ser>
          <c:idx val="2"/>
          <c:order val="2"/>
          <c:tx>
            <c:strRef>
              <c:f>'Baseline scenario'!$B$133</c:f>
              <c:strCache>
                <c:ptCount val="1"/>
                <c:pt idx="0">
                  <c:v>Total energy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'Baseline scenario'!$C$130:$J$130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scenario'!$C$133:$J$133</c:f>
              <c:numCache>
                <c:formatCode>0.00</c:formatCode>
                <c:ptCount val="8"/>
                <c:pt idx="0">
                  <c:v>10.82</c:v>
                </c:pt>
                <c:pt idx="1">
                  <c:v>10.967204082444727</c:v>
                </c:pt>
                <c:pt idx="2">
                  <c:v>10.748699454763875</c:v>
                </c:pt>
                <c:pt idx="3">
                  <c:v>10.578050088636783</c:v>
                </c:pt>
                <c:pt idx="4">
                  <c:v>10.439304230212255</c:v>
                </c:pt>
                <c:pt idx="5">
                  <c:v>10.30055837178787</c:v>
                </c:pt>
                <c:pt idx="6">
                  <c:v>10.161812513363346</c:v>
                </c:pt>
                <c:pt idx="7">
                  <c:v>10.02306665493882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1B-4515-A451-38284C2ED4F4}"/>
            </c:ext>
          </c:extLst>
        </c:ser>
        <c:ser>
          <c:idx val="3"/>
          <c:order val="3"/>
          <c:tx>
            <c:strRef>
              <c:f>'Baseline scenario'!$B$134</c:f>
              <c:strCache>
                <c:ptCount val="1"/>
                <c:pt idx="0">
                  <c:v>PV export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'Baseline scenario'!$C$130:$J$130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scenario'!$C$134:$J$134</c:f>
              <c:numCache>
                <c:formatCode>0.00</c:formatCode>
                <c:ptCount val="8"/>
                <c:pt idx="0">
                  <c:v>0</c:v>
                </c:pt>
                <c:pt idx="1">
                  <c:v>-1.3244766025254878E-2</c:v>
                </c:pt>
                <c:pt idx="2">
                  <c:v>-5.7259205894405009E-2</c:v>
                </c:pt>
                <c:pt idx="3">
                  <c:v>-0.11934167201423525</c:v>
                </c:pt>
                <c:pt idx="4">
                  <c:v>-0.19300859792140329</c:v>
                </c:pt>
                <c:pt idx="5">
                  <c:v>-0.23578363106233718</c:v>
                </c:pt>
                <c:pt idx="6">
                  <c:v>-0.29400461058638777</c:v>
                </c:pt>
                <c:pt idx="7">
                  <c:v>-0.35222559011043875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1B-4515-A451-38284C2ED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05775"/>
        <c:axId val="885410095"/>
      </c:lineChart>
      <c:catAx>
        <c:axId val="88540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85410095"/>
        <c:crosses val="autoZero"/>
        <c:auto val="1"/>
        <c:lblAlgn val="ctr"/>
        <c:lblOffset val="100"/>
        <c:noMultiLvlLbl val="0"/>
      </c:catAx>
      <c:valAx>
        <c:axId val="88541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854057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Final energy use in Service Sector, in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'Baseline scenario'!$B$138</c:f>
              <c:strCache>
                <c:ptCount val="1"/>
                <c:pt idx="0">
                  <c:v>Heat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'Baseline scenario'!$C$137:$J$137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scenario'!$C$138:$J$138</c:f>
              <c:numCache>
                <c:formatCode>0.00</c:formatCode>
                <c:ptCount val="8"/>
                <c:pt idx="0">
                  <c:v>2.4800000000000004</c:v>
                </c:pt>
                <c:pt idx="1">
                  <c:v>2.6773382005112145</c:v>
                </c:pt>
                <c:pt idx="2">
                  <c:v>2.6379632410829572</c:v>
                </c:pt>
                <c:pt idx="3">
                  <c:v>2.6010530316108262</c:v>
                </c:pt>
                <c:pt idx="4">
                  <c:v>2.565785988776089</c:v>
                </c:pt>
                <c:pt idx="5">
                  <c:v>2.5305189459413371</c:v>
                </c:pt>
                <c:pt idx="6">
                  <c:v>2.4952519031066163</c:v>
                </c:pt>
                <c:pt idx="7">
                  <c:v>2.4599848602718781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3-4D0E-B727-FE8815C6E93F}"/>
            </c:ext>
          </c:extLst>
        </c:ser>
        <c:ser>
          <c:idx val="1"/>
          <c:order val="1"/>
          <c:tx>
            <c:strRef>
              <c:f>'Baseline scenario'!$B$139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'Baseline scenario'!$C$137:$J$137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scenario'!$C$139:$J$139</c:f>
              <c:numCache>
                <c:formatCode>0.00</c:formatCode>
                <c:ptCount val="8"/>
                <c:pt idx="0">
                  <c:v>2.71</c:v>
                </c:pt>
                <c:pt idx="1">
                  <c:v>2.860070548123427</c:v>
                </c:pt>
                <c:pt idx="2">
                  <c:v>2.917993640274489</c:v>
                </c:pt>
                <c:pt idx="3">
                  <c:v>2.9765588060784665</c:v>
                </c:pt>
                <c:pt idx="4">
                  <c:v>3.0355822555222804</c:v>
                </c:pt>
                <c:pt idx="5">
                  <c:v>3.0946964085797219</c:v>
                </c:pt>
                <c:pt idx="6">
                  <c:v>3.1539012652507892</c:v>
                </c:pt>
                <c:pt idx="7">
                  <c:v>3.2131968255354937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3-4D0E-B727-FE8815C6E93F}"/>
            </c:ext>
          </c:extLst>
        </c:ser>
        <c:ser>
          <c:idx val="2"/>
          <c:order val="2"/>
          <c:tx>
            <c:strRef>
              <c:f>'Baseline scenario'!$B$140</c:f>
              <c:strCache>
                <c:ptCount val="1"/>
                <c:pt idx="0">
                  <c:v>Total energy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'Baseline scenario'!$C$137:$J$137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scenario'!$C$140:$J$140</c:f>
              <c:numCache>
                <c:formatCode>0.00</c:formatCode>
                <c:ptCount val="8"/>
                <c:pt idx="0">
                  <c:v>5.19</c:v>
                </c:pt>
                <c:pt idx="1">
                  <c:v>5.5374087486346415</c:v>
                </c:pt>
                <c:pt idx="2">
                  <c:v>5.5559568813574458</c:v>
                </c:pt>
                <c:pt idx="3">
                  <c:v>5.5776118376892931</c:v>
                </c:pt>
                <c:pt idx="4">
                  <c:v>5.601368244298369</c:v>
                </c:pt>
                <c:pt idx="5">
                  <c:v>5.6252153545210586</c:v>
                </c:pt>
                <c:pt idx="6">
                  <c:v>5.6491531683574054</c:v>
                </c:pt>
                <c:pt idx="7">
                  <c:v>5.6731816858073714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A3-4D0E-B727-FE8815C6E93F}"/>
            </c:ext>
          </c:extLst>
        </c:ser>
        <c:ser>
          <c:idx val="3"/>
          <c:order val="3"/>
          <c:tx>
            <c:strRef>
              <c:f>'Baseline scenario'!$B$141</c:f>
              <c:strCache>
                <c:ptCount val="1"/>
                <c:pt idx="0">
                  <c:v>PV export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'Baseline scenario'!$C$137:$J$137</c:f>
              <c:strCache>
                <c:ptCount val="8"/>
                <c:pt idx="0">
                  <c:v>2010-20219 EH0240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strCache>
            </c:strRef>
          </c:cat>
          <c:val>
            <c:numRef>
              <c:f>'Baseline scenario'!$C$141:$J$141</c:f>
              <c:numCache>
                <c:formatCode>0.000</c:formatCode>
                <c:ptCount val="8"/>
                <c:pt idx="0" formatCode="0.00">
                  <c:v>0</c:v>
                </c:pt>
                <c:pt idx="1">
                  <c:v>-3.6051641722675331E-6</c:v>
                </c:pt>
                <c:pt idx="2">
                  <c:v>-2.0018027821032825E-4</c:v>
                </c:pt>
                <c:pt idx="3">
                  <c:v>-3.7877153545498571E-4</c:v>
                </c:pt>
                <c:pt idx="4">
                  <c:v>-5.9333050628644949E-4</c:v>
                </c:pt>
                <c:pt idx="5">
                  <c:v>-7.1197557421976343E-4</c:v>
                </c:pt>
                <c:pt idx="6">
                  <c:v>-8.7857759360215231E-4</c:v>
                </c:pt>
                <c:pt idx="7">
                  <c:v>-1.0451796129845405E-3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A3-4D0E-B727-FE8815C6E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4047"/>
        <c:axId val="97681647"/>
      </c:lineChart>
      <c:catAx>
        <c:axId val="9768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681647"/>
        <c:crosses val="autoZero"/>
        <c:auto val="1"/>
        <c:lblAlgn val="ctr"/>
        <c:lblOffset val="100"/>
        <c:noMultiLvlLbl val="0"/>
      </c:catAx>
      <c:valAx>
        <c:axId val="976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684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image" Target="../media/image3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image" Target="../media/image2.png"/><Relationship Id="rId5" Type="http://schemas.openxmlformats.org/officeDocument/2006/relationships/chart" Target="../charts/chart15.xml"/><Relationship Id="rId10" Type="http://schemas.openxmlformats.org/officeDocument/2006/relationships/image" Target="../media/image1.png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86</xdr:row>
      <xdr:rowOff>66675</xdr:rowOff>
    </xdr:from>
    <xdr:to>
      <xdr:col>20</xdr:col>
      <xdr:colOff>990600</xdr:colOff>
      <xdr:row>101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5AE792-9558-F1B1-7ADB-E25C33998018}"/>
            </a:ext>
            <a:ext uri="{147F2762-F138-4A5C-976F-8EAC2B608ADB}">
              <a16:predDERef xmlns:a16="http://schemas.microsoft.com/office/drawing/2014/main" pred="{55F912D0-E43B-4B32-E620-E2299863D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100</xdr:row>
      <xdr:rowOff>171450</xdr:rowOff>
    </xdr:from>
    <xdr:to>
      <xdr:col>12</xdr:col>
      <xdr:colOff>285750</xdr:colOff>
      <xdr:row>118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E7A778-8597-3D19-8AE0-F6EA14B80C3A}"/>
            </a:ext>
            <a:ext uri="{147F2762-F138-4A5C-976F-8EAC2B608ADB}">
              <a16:predDERef xmlns:a16="http://schemas.microsoft.com/office/drawing/2014/main" pred="{1F5AE792-9558-F1B1-7ADB-E25C339980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352424</xdr:colOff>
      <xdr:row>101</xdr:row>
      <xdr:rowOff>180976</xdr:rowOff>
    </xdr:from>
    <xdr:to>
      <xdr:col>20</xdr:col>
      <xdr:colOff>981075</xdr:colOff>
      <xdr:row>120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AA70C-35D1-989C-CAF9-D678139C0F96}"/>
            </a:ext>
            <a:ext uri="{147F2762-F138-4A5C-976F-8EAC2B608ADB}">
              <a16:predDERef xmlns:a16="http://schemas.microsoft.com/office/drawing/2014/main" pred="{4FE7A778-8597-3D19-8AE0-F6EA14B80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342900</xdr:colOff>
      <xdr:row>23</xdr:row>
      <xdr:rowOff>180975</xdr:rowOff>
    </xdr:from>
    <xdr:to>
      <xdr:col>12</xdr:col>
      <xdr:colOff>314325</xdr:colOff>
      <xdr:row>42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70CE0D5-7667-73F5-2A5D-CD3961925DBA}"/>
            </a:ext>
            <a:ext uri="{147F2762-F138-4A5C-976F-8EAC2B608ADB}">
              <a16:predDERef xmlns:a16="http://schemas.microsoft.com/office/drawing/2014/main" pred="{000AA70C-35D1-989C-CAF9-D678139C0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193</xdr:row>
      <xdr:rowOff>142875</xdr:rowOff>
    </xdr:from>
    <xdr:to>
      <xdr:col>4</xdr:col>
      <xdr:colOff>409575</xdr:colOff>
      <xdr:row>208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14D818-5A75-795E-2776-B2885CF866BE}"/>
            </a:ext>
            <a:ext uri="{147F2762-F138-4A5C-976F-8EAC2B608ADB}">
              <a16:predDERef xmlns:a16="http://schemas.microsoft.com/office/drawing/2014/main" pred="{FB2F1CAD-56DB-4096-AC69-25E10FFFB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304800</xdr:colOff>
      <xdr:row>196</xdr:row>
      <xdr:rowOff>111125</xdr:rowOff>
    </xdr:to>
    <xdr:sp macro="" textlink="">
      <xdr:nvSpPr>
        <xdr:cNvPr id="2053" name="AutoShape 5" descr="data:image/png;base64,iVBORw0KGgoAAAANSUhEUgAAAz0AAAH2CAMAAABtBhIZAAAAAXNSR0IArs4c6QAAAARnQU1BAACxjwv8YQUAAAL9UExURdnZ2dra2tra2tnZ2QAAAACw8AEBAQGu7QICAgKr6QKs6gUFBQWn4QgICAih2Q0NDQ2Yyg8PDw+WxxYWFhaJsxiErCAgICB4mCMjIyNyjiZthysrKytidiwsLCxgdCxhdDAwMDMzMzNWYjg4ODhNVDs7OztHSzw8PD09PT1FRz4+Pj5CREBAQEFDQEM+PkNGQERDPkREREU9PUVJQEg7O0hFPUhISElQQUs5OUxIO0xMTE84OFBcQ1M1NVZPOFZWVlhrRFkzM1lZWVlsRFpaWltbW1xcXF1TNV1dXV5eXl9fX2BgYGFhYWJiYmNjY2RkZGSAR2UsLGVZM2VlZWYsLGZmZmcrK2dnZ2hoaGlpaWmISGpqamtra2xsbG1tbW9vb3AwoHBwcHFxcXJycnKYSXNzc3QmJnR0dHV1dXZ2dnaeSnd3d3hlLHh4eHkjI3lmLHl5eXp6entnK3t7e319fX5+fn9/f3+uTIAgIICAgICxTIGBgYKCgoODg4SEhIWFhYaGhoeHh4e9ToqKiouLi4vETo2NjY4YGI6Ojo7KT4+Pj4/LT5CQkJEXF5GRkZHOUJKSkpLQUJQWFpV5I5WVlZaWlpiYmJqampubm5ycnJ2dnZ6enp+AIJ+fn6IPD6KioqOjo6QNDaSkpKWlpaampqenp6mpqaqqqqurq62tra6urq8ICLCwsLGxsbOzs7S0tLUFBbWOGLW1tba2tre3t7gDA7i4uLoCAru7u7wCAry8vL2UFr29vb4BAb+/v8AAAMLCwsTExMXFxcfHx8jIyMnJycrKysvLy83Nzc/Pz9DQ0NKiD9LS0tTU1NXV1dakDdbW1tfX19jY2NnZ2dvb29zc3N3d3d7e3t/f3+Dg4OHh4eLi4uPj4+Tk5OXl5eavCObm5ufn5+jo6Onp6erq6uvr6+zs7O3t7e7u7u+1Be/v7/Dw8PHx8fLy8vPz8/T09PX19fb29ve6Avf39/j4+Pm8Avn5+fr6+vv7+/y+Afz8/P39/f7+/v/AAP///39SIw8AAAAEdFJOU4efx9+nhZkZAAAACXBIWXMAABcRAAAXEQHKJvM/AAA4FklEQVR4Xu2dDbhlV3nXUacFUVFQUNSKFsSvsWqlIo2Gcpy5kl7IVUkkbU0p1FFHJdyRRqzcFmPHSQVtTROnTjD01hpMpZiCNSZIhnGEUQZGHUlrI6FQb5mmOGlSczPAAe7T933Xu/Zee+2Ps/baa++7z9n/3/PM3P25/mu9+/2ftfY6H/tpT/sEACCGXwPzABALuWcPANAeuAeAWOAeAGKBewCIBe4BIBa4B4BY4B4AYoF7AIgF7gEgFrgHgFjgHgBigXsAiAXuASAWuAeAWOAeAGKBewCIBe4BIBa4B4BY4B4AYoF7AIgF7gEgFrgHgFjgHgBiWRX37GzM1v7b3t6lrdnaQ7ppYBZJz+/fmM2OXta1MIKao01fXfbxoi5gVdxzcTabnd3bO01/TuimgVkkvU37pY4tCGqONn112ceLuoCRuefKcU6x2Wxt65xuCWT07qEeglmY5jYCFIOHotwzzwoYacq1Bu4J5MqN5roTm7u6LQhNIR7F7FMnv0CaU+DM3qMLG6UuI6i0oOZ47okO4di4jxogA919vKgLGK97ZvfotiBGP3wh96yH3PQU3BNEvXuWu++hoW5QxPaREbqHXDOn1512r5wr5Z52WV/hnpUYssE9bVH3yOBdQvfo/TdTcqzd8Yjsnp8/Rmv2nuhTt9DKkfeKyTSFuJPnqbcbqdO/dBdt0xOLByuF0mTF3m65B5fKKlTpoY3ZCZ5NO2GliUt3cf9RuHMzUwb6ilDYnxdgKLinrjmFKjS6Z0EkXHXZzqxfphcvMzvI1+HdvMAUQlRoREnFCS3tM9Wjeq7TXj52l49dO7lrJiK35BzZ/ujddt1GTMevFZGtaNrQjNg9nGmcSwa+APaGWMY087vNilnTFMpNtH7GnGrGP8WDDYXSrmzlK8WD/bKKVSLBzVO0vLlrkzg7252edtzj7c8LMEdy8Vny1zSnVAX5qxTd459aDptV5xszw9pDvCxFspIdQVeGyDTCV3FDy0VIWaSl6+s/YXYf/RlTpJzD2z+iZdDxjntsAxeI7gMjHrlxwDhwBu6JsgvMu2x4zS6NsP7hK2aRTCoebHBLs5dbrkPxYL+sYpXsWu6e/OzMEflG2uLtzwswR7JchXsyqqvAwkrJPRkVkcjVnQPXL2eVoBjZzKwJkVTcV3FDy/ukeqTFp7rHWvwyqGpWgU6xDVwgug+MdtZg7Qyv79xwx8N04ShuFEW+ftzbnz+mF4VW9s6bi6MR1j8S2KOP7F2gv9YBzsFCoTQ+b/MRGkjcIAMF9+BSWW6V5MTZid35L7jSazS0+CS3xGoRlFB8dml/XoCB92e5UNecUhUcoTyEXEzpVPrrhc2oU2E0ruJhFvc1vEZHc4ysrflQN0RuIzyV0oWS6lEBmXuoIHEYXWWWzLZTGbzu1qEQhQbR/WC07ikMZs0V4ItyQq8lB99cVwoypYlG2Am07NXXTu9goVBadqUI72C/LMVUyeSUHK3S2VF8QGYD2S4K/v68AANvNtDWmuYoThXojyUPIZ/in0p/jFoeNlnnaHAhtJ8r7QjbgZsXokIjPJVCaLWWUiafZI/lg6yku120uQ6ZoFZmgeh+MF73aOgu3EJBYih+FM9sAoGXLRRDjbB/1fWKeQcbnNLkcstGwjvYL6tYJRU0u2mJSzIK+ZJAl5gbVNqfF2BgOUO+M7QKQrnvaYhEdi7XhheomnwaF0J/nbzkA2yISo2oUrEXiveJhO7LjqWDpBCtQ7adtXkH7Xfds1B0HxjprMElChBfLA6UQgHW+9ajFCpnh4RSL4F/JUxg/YMNTmmaLIJ/sH+RilVSQbOblnivlmSzw+C4p7A/L8DAcoZ8Z2gVBLctCyORn0u10WGTHC6py0fbJvghKjTCr6ATWtknErovO9bGR+uQbefSOVRSBd5gDlgoug+M1D2yQBGiOFn4CsgEpywX0uBkdgn8K2EC6x+s5KXVuocO9i9SsUoqaHbTUukaW9q4x1bF7gytghDunjxseqBgElF2ZCcTrdzjhFb2iYTuy4618dE6ZNu5dN5B++GeVmTu4VitX+ZVfo8guwL6rsTmrg2xRS+BfyVMYP2Dc7Q0PzXcg72yvCqpoNlNS/nZXjltRm5Z8uvO0CoIbltKp/qNy8/l0wQ52pTiDNwKxZYa4akIGtrSvmy9zj2sxDsq3LNQdGDG3ffYVQ5UliAmD7PYGvQS+FdCA+sd7CKl8fXIDvAO9sryqqSCZjcv0dnmUmbnGdQ9pf15AQbeHOCeyioIvLfWPTVhMxl5Mx279bBsl/oyWUl+iAqN8FUMpsm8j0vhAnhfdiwV4rsnW+cTsqrqAWGigzJS9zzKb+GdUA/JnCTFb35cJmppF0WVQ3qUL/Wn7rqBQqcR1j9+YL2DhUJpnCs8HXv+ZvP2gnOwV1axSlbQ7LYb6AZCDnCvqXWPvz8vwMByAe6prILQ7B4+uBw2OcutrTmxUHApRE4jPJVCaLk+a+fMnWzh2Ar3cKHyl2Vpv/lcrR6wQHQ/GKF7LBwRjqBi7k4MlB38UqbwgU6E9Uq4gfUOFgql5StmiKDwwX5ZhSpZQbObl5yzzWmKdY+/Py/AwHIL3FNbBcEJISXngkhk59rtR25+r3nnyWyQKhtqQiSleyqF0Lq1ZcnsWNpeco+SbZdT9IAFovvBeN0jAdGQrtEf55rJBzXsB0fMkRph50oUAls8WCiWZq8d7y4e7JdVqJIVNLtlKT87n58grHv8/XkBBi5+kXvqqiA0u6c6bISWSchhpq/Ja0LYI3i/1whPxbtQWqF3H5dTs2Mr3MNjR4Jv6ux5dIqtZLPofjA292jc17bOcWD5c4G0tvUIRZrid+ku89lDs0vf9DAvlhRK/iSh/uGJV/mswkO0bgLrHmwoliafT1zTYb97cKmsQpV4o/kEo0oTF/h+2b7dYaFkNN9W8fbnBRg4RbLPZdY1p1CFXFhwXqIpORdEIlN3X9glp7lYk7QZXohot22Er1IMrX6SkyTYFtmx/P0dPkDrwHr38KH86VHBnCevANrARtF9YGTuAfsEmVsy8FFykekj2U/OwK13xD26vCzAPYChbmyd3fMp6vryvscduPUN3AOWFbnLUUwOk5+KA7eegXvAsuLc95jJDr5nH3LgBveAJcZMJhyxkx2DJzPbVSYBlgi4B4BY4B4AYoF7AIgF7gEgFrgHgFjgHgBigXsAiAXuASAWuAeAWOAeAGKBewCIBe4BIBa4B4BY4B4AYoF7AIgF7gEgFrgHgFjgHgBigXsAiAXuASAWuAeAWOAeAGLp7p679ccnd7Zms7V7zTZ/DYBVpLN7+Afu2T0X+dfAsp8AK64BsJJ0dc+VG9dOsnvmx+n/+Xb+C+LOGgCrSVf3nOanW5J7djb0YRjy08fFNQBWk47u2dlYvyzuuSgPsLhyo/FLcQ2A1aSbe2iEdpa6H3EPj9LIL3KrU1wDYDXp5h4xTjv3/F0Alg/NXo9u7uFnvAhnQ0duBw5odQBYIjR9PVK5x84TyOP7slkDs+Zy4IAuALD0dJw1YGTkRv3M5u78FP3Hq/maHpMB94DVIZV76H/TCdl7IV3zgXvA6pDMPXvnj81mR8/xaI6nCuyaD9wDVocE7imys1EerjnAPWB1SO6e7fJMgQvcA1aH5O5ZANwDVge4B4BY4B4AYoF7AIgF7gEgFrgHgFjgHgBigXsAiAXuASAWuAeAWOAeAGKBewCIBe4BIBa4B4BY4B4AYoF7AIgF7gEgFrgHrDBvPNCCdT0pHLgHrDDqC+Wrv+bgb9VFWTl48A/+Bl0T9KRw4B6wwhw4cFvOW8guf1OXb7vtL3zrbbe946V/7B/p6m23wT0AuLju+Yd/8lvf4rhH+Kt/9O/rEtwDQJFC38O9D9wDQCAL3POWgzR8s8A9ALg0uOcHv4lugxzzwD1gmeh5OplZ0Pe846UYuYHlRH1hWDSbHJc3i+573vHSP6dLcA9YKtzUXjCbHJPazCL3/OA3/Zl/rIv74J5H796YzY7yL1frg7DsM0d2tmaztXt1xQHuARYntRfNJvflnn3te+bHxTL8w+9F91wkUxHlx5bCPcBSTO2e3FPg2WZ0+OyDzzvwjBfS4ld/zR/+zbLDoCeF0809V245I0+6IpeYx/Yo5KrN3fm2PPu3CNwDLM3uKcwmp3DPb/r9NDo8ePD3PcOY6Nm64qAnhZPgvmdno+Qe+9zS8sPj4B5gqXdPaTY53j0fquDWr/9JXXLZF/dQF5ON3I6cMduanpmtC2DyNPc9hdnkpO554Kof0qUCw7uHDFKcNTAd0EUZs9FOpz8y4Inzy8Ef0MFMGL9Xz2rHgvse946e3KMntaPSPbe+4j/qUoFGCU1fjxTuMfYhLmzoU7LhnmVHbaEsfDNGz2rHAve4s8lJ3VPD8O5hyDN2dsDOE2DktuwUMnuQN2MW9T16UjvauUdPCieBe8gz9lml1j121sBuz4F7lgM3s/t7M8ZlwWzyCrpnZ+sc/XcjeWZn62HphU7IA+ip19ncnZ/ScZwL3LMcFPuFcseQ2D2LZ5NX0T3mTVG6vdEl6nrYPfweEFMauME9S8IC9yR6M0bz1qV6NjkmtZlxj9wu3UIe4W5HltZOUl9j3vg5f2w2O0odkw/csxw0uKfXN2NqZpNX0z1ldjbKwzUHuCcBI/tof0r31MwmT8U92+WZAhe4JwHqC2XRdLKe1I5F9z1LMCHGLJt7FgD3JKCQ2ul/KYZZ5B7vzRg9qx1wT1vgngS4qd3DL8Uw2m9ZdDo55xkv/F26JOhZ7YB72gL3JGBRx9Cbe5bqzRgG7gE+C9zT9ZdiGDft3vMSfvvlIN3Pv+vgD32I/jMrOXDPQMA9CWhwT4pfimGq026p3oxh4J4lozCdvGg+bJS/FMNUpt1yvRnDwD1LhvpC4E+c5O75Hc/ju+2Bp5NTpt1yvRnDwD1LhpPa+/VbFx1/KYZpk3Zwz1BERmGJKKZ2T+4psGA6WU9qB9wTAtyTmmb3JP+tC2LBdLKe1A64JwS4JzX17unl45WLppMHSLulcY/E6u/piglVtgb3LKT48cohJsT8vqe/37pI90sxzCq651Z+ecnQF5vcPhES03KP2sIwyIRY6b6nt49XpvulGGYF3fOelzgdzYc+dBP30A9e95d1Fe5ZiJvZw0yIlSR6+3hl7S/F6EntWEH3eH3zTbz6wFVwTzDFzC6n9gDuWcGP9i+Hex68rvjy8p6XfP1PPnid46gICbjHoYcJsSl8vHJZ3PMXr6Oxem4hnkPIex64ZyEN7kk4IZaxpL91wQzunuJ8mL+aQOKBq77uR/n/zD63HvyzL3GnJyMk4B6H/ibEVvrjlSk0ivNh/moKCZ0guJU9xNzEC+9y7BMhAfe49HVTstofr0yg4c2HeatEdwm977HuUYnMTMvunlZvxvTy4eTeJsRW++OVCTS8vrncVSdohilUptqIVXOP+sKw8M0YPakd+9X31LEaEt01vPkwf3qMSNCM97yEhm7y9ij/9+B17BvZpkRIjMo9mrbEoN/Wx/eNywztnsJ8WGl6LE0zZCaCh9DyMYMP3URrHScmRuoeom/3TGRCLImENwP24HXFm/rOGt58WGl6LHGkqudwIiSWxz2pv62fs9ITYikkvBkw/nhlWvd482H+9BiRMlKjefpVaxqq2OCeXr+tj+8bV+BKlCfEzNAno7OGNx/mrTIpI5XuM03L0/f09m19fN+4Alei3Dendo83H+avEuOM1BLd9/T1bf06xnnBmGElKmbAkrunOB/mrFrGGamO7nn07g374MWdrdls7V7ZShTXchqquMg9+La+xZWQ73gdtK/SD1wlq87nt7pLVMyAJXePmZfgQk3R2aplnBejm3vmx+UxPfzD7xfJRgQ/fYQorjk0VBF9TyiuxLucmwOLe6PSXaJiBiy9ezKWagqnm3uu3HJGnnR1D/toc3dun7xYXHNpqKJOE1vwbf1aXIkq96S9YaiYAevPPcs1hZPgvmdnwzw7Tp5Uah4XV1xzaaii2kJY/GaMntSONsEc6QVjXIkK97hf+UogUTED1p97lmsKp7t7qIuhkVvxKdlRz8yubml1Tz5AMEd6wRhXosI9bp6nkCjPgPU4cqthnBId3UMGMbMGF2WURqtyq1Ncc2l4KH5lS2vf2dKT2tEmmAk0inf09CLurjEJmiEaBQcV58gSSHgTYkTJPXpWO9pcjf2W0PT1SOEetk9f7ql9Z0tPakebYCbQ8PqFmyj1HrjKtU+qZtzkZnMxtVNIFCfEZK0wBzfA1dhvCU1fjwT3PRc2yCu9jdyqGaAjT6BRdUefelgluHc6he/qJ47UUk2IMT1LJHDPHt/42HkCdk0+a2DWXBqqOLJgJtAYzD3uYM37XE3KSOEzTR7d3LOzdY7+u5H6HupnNnfnp+i/0/QvX9MDMxqqOLJgJtCocE/hDfRkzXD7HvnGcU7KSOEzTR4d3bPBtz3yruhps3SWFsgz2ZpPQxWHDybdxudZx7ffhcTrruHd0cusQeKO4cHrqDswgzVjzMJ0NZEmUs0MoDFOiY4jt0u3kEe2HubF88dms6PUFW3LVIFd82mo4vDBvPXrXpGlmnwKv/C6neiCFe7oKbkTS4hDpU8wswX+72kkakUjA2iMUyLFfU+BnY3ycM2hoYqDB/OBq/5p9kOs5iU78fuMgtcZ9CFhwDtjZXqWSO6e7fJMgUtDFQcP5k2v+A+Ze8y9duGtkkQXzPuIch8SQrrvfDFtLsYQGuOUSO6eBTRUcehgvudP/2j+I+A6U9XDV0qG6nvSfeeLaXMxhtAYp8R03cPOyd1jf2IlpXu8O3rpHIyOZZw5wbSRWJFmREhM1z3voqzO3UOLfPf915L2Pd4dfb5qGWdOMG0kRt2MNuhJ4YzXPc50ch/f+XrgKhqqOe4xyENdlJQ5sdJv0o+6GW3Qk8IZr3vc6WQh7Xe+pCNg3Hvtvm5KVvtN+lE346uCiZAYrXvc6WRDD3f0ft/Ty8doiNV+k37UzVBrBBAhMVr3uNPJQh/9gnFP9umZW3v5GE0DqyEx6maoNQKIkBirewrTyUIf/YJ1D42r+HdZXYVVSe0BJOI12qAntWOa7uG0LrrH/86XntSO6pzA5+7LwD0hjNQ93nQy4X/nS09qR2VO4HP3FQzjHs3bAMYpMU73lKeTe/zOFz53X4G+4IeiZ7UD7mlLQxWdnChPJ/f4na86BtAYs0Qr9Kx2wD1taaiinxOFvqfH73zVMYDGmCU0p0IYQGOcEqN3D77zVQbuCQXu4dEbvvPlosOlQPSkdsA9IYzYPQZ856uM2iIQPakdcE8IY3cPvvNVwcjSDu4ZioYqVqbdMn7nqw16UjvgnlAm7p4aooOp54cQrdEGPakdcE8ocE8V0cHU80OYbE4wcE8IU3NPK/SsdsA9ocA9bWmoItwTCtwTCtxTBXIiFEQqlAgJuKeWyeYEg0iFAPfUMtmcYBCpEOCeWiabEwwiFQLcU8tkc4JBpELo6J75/Ruz2dYjtLRdfObIztZstnavrjg0VFEnugLRk9qBnAgFkQqhm3vmx8Uy/JDSonsukqmI0mNLqTm6UEZtEYie1A7kRCiIVAgd3fP2M+Igcol5bI9C2zZ359tiqyINVUROhIJIhdKzRIL7ntNl99jnlpYfHtdQReREKIhUKD1LJHAPjdnIJDJyO3LGbIp8ZrY2IwDkRCiIVCgREt3dI0/4ze57TAd0UcZstMfpjwwND8Vv11I9qR0tc0LPasfImoFIhdIooenr0dk9dIuTPS3uwoY+JRvuCWM1JKYQKU1fj67umZtxm2LnCTByC2M1JKYbqa7uKZgnc4+dNSg/w7ShisiJUBCpUHqW6OiezDw7/Nh5Grmd2DtNoze5F5qf0nGcS0MVkROhIFKh9CzRzT3kEmH9MvU2ZkHcw7PYTGngRs3RhTLIiVAQqVB6lkjlnr1Lt8xmaydl8o2nCs4fm82OnjNHuTRUETkRCiIVSs8SXe97SuxslIdrDg1VRE6EgkiF0rNEcvdsl2cKXBqqiJwIBZEKpWeJ5O5ZQEMVkROhIFKh9CwB99Qy2ZxgEKkQ4J5aJpsTDCIVAtxTy2RzgkGkQoB7aplsTjCIVAhwTy2TzQkGkQoB7qllsjnBIFIhwD21TDYnGEQqBLinlsnmBINIhQD31DLZnGBWLVJPf8HB36Z/Dx78Q79RtjHPfBGty54YCbinliXIiQAQKeY51iPP/+3smMw+z3oxrT/X7IqQgHtqGX9OhIBIEWSS52gPwzz3j/wWXXr+1/567o/4/xgJuKeW0edEEEsQqcKo6nfLJqYwyOrcjEr3PPNF1PXY9QiJYPfMn3hceOLLuiGOhiquWE6EsAQSNrXdJb1dyHK9m0Y+qqLSnpPbpzDI6hwpxz3POSieIZ71Ytlo9kVIhLpn99+/YePVr3rVq659/Y5uiaOhiiNLuyE0ukpUp7Z51dYs7CiRpbazlCF3DUQnDW9U9Xznlp6w3UTni6EaEhprHruxb/d86QOvfuXh2eHDh1/5bXBPM1Yjy2dnWkd41ouzC9hRoi613RfxbhJ5antJLthM73o13IKf2697mGe+yI7cdKP5EyER6J7H3nj4+h/+qY/813MfOf8F3RRHQxXzli6mazBrU9t5De+mkeWzvEDrtA7jLHaUCErtrpFy0s6XeOaL0vRvhYKLfU82yErYDKfiA43cLr/uVR/9/Jd0pQsNVcxbupiOwaxNbfc1vJNGns/utA4hipaEOeFmh6Av4j1KZDffXTWcgp3wFAZZCZvhXA1V63vW4Mo/+5ZP6WI3GqqYt3Qx3YLZlNp5lNPkRGFahxfc19aEOeFmh9B735OHLU2kmKe/oND15IOshM1w+h7TBG1IhESAe7585cndJ//7X/mBX3hyd3f3ySvDzLlxJ2ATjttHq9piIVEw/dQm8iinyYnC4MBNOSZhTuRLBvsi3p9EvpomUszznSsh2ERPdsHp/6e/gFVkUCj/6eWPkAhwzxM//Nbv+d7vPnzo+rd+7/d8z1v/ySXdHEdDFfOWUoO4rXkovbnMZMH0UptJnRNani326S/4PfxKoBZK1IzikpC9iPcm4XQTaSJFuPeEBvtq001CJmok6vyqbKJvRJ1X6QiJAPdc/huHZocY/v/wt/xf3RxHQxXzC6avOFkHa3DvJxPlhF42Ny3y5TQ54UmYocgzX5QiJ4i8tvmSkL3y9Cbh3KGkiRSbJyvSkqzvKeFN7kVJBLhn9yfeeeepU3feSf+dOvUv7n5MN8fRUEWnpebKFEc5heYmygm9bG5a5MtpcqI0cpNsiB8sMH4ziktM/iLem4QzyEoTKfpjzcNLziCL6NwMHym+QIREyH3P5+lm50vzzytD3Pfo61px9rKHvmeAkZs2xd5a6StCz+5xXsTTS5gkdwcGnTSyUZXc3BJUrijlgyyiczN8nlt4ZWYiJALcs3flvg8/3nGyIKOhik5LzUvOs17suscZKSTLCS+1mTxZumqYkoxd8m7U9KC9TYjl98JKN4n8hsG9dWCldG9bVVAaVaWXKBMhEeKey0euefWbf/ynH99N8IZPQxXdlsrr0Nf+TieIxbnMzsGsTm0iz8euGm4+iz9l6VkvltdWk97dJOpS23kR7yPt+k/t8qiqh2aUiJAIcc9jb/7mQ4dm33ztP7jvs49/XrfF0lDFckvl3RilOJfZOZjVqZ3vIDpp5PlMJeq0jila9qhG+pxIcS/M1EsMkNrlUVUPkSoRIRHini8//jP3fd/G+qHZoVffcPIThSHc/P6N2WzrEV7c2ZrN1u6VrURxLaehiqWWukNrby6zWzBrU9vZ0cMFG2A8kuRemGloxbKkNtOzRIh7iC/tPv5zH/z+164fWnud+ynR+XH7AJK9i+YBPvqg0uKaQ0MVSy11bkf8ucz0wVyN8UiSe2GmTdoNoTFOiUD3MLuP/tx9r7nm2p/XVWb+9jPioHv4/83duX3yYnHNpaGKfkuNY2REZYdVGcmDifFIkTYSK9KMCIlA93zhycsf/5HvvH790OFvL31D4TS7xz6p1Dwurrjm0lBFt6XPtwMqGVEVboOF5MHEeKRIG4npRirovudXfvpff/fGNYcOH1q/4Y7/MtetGfLs0uJTshM+M7s8omKQE6EgUqFESIS457Gbr107dOja67/vPz/yy1dKs9byhF/yC4/SaFludYprLg0Pxa9sacWIihng8f1DaKyGxBQipenrEeKe//ft16zNTnz0s49VvWNKtzjcz/TlnooRFYOcCAWRCqVRQtPXI6jv+a5rr5kdvva7fuSjnyu93zPXZ873NnKrBuORUBCpUCIkgu57nvjUB45vrF/zyrVrv+2dHy3e96h5snkCdo2/5tJQReREKIhUKD1LhLiH+NLu4585d+q164deWXi/JzMP9zObu/NT9N9p+pevyU6HhioiJ0JBpELpWSLQPcyVz33mvtdcs+G+30MuEegu57RZOksL5JlszaehisiJUBCpUHqWCHPPl6888ZkP3/mG69cPrRXe73Hcs3f+2Gx29Bx3RzxVYNd8GqqInAgFkQqlZ4mg+56f/8Dx17x67dDh2foN/7z8fk+RnY3ycM2hoYrIiVAQqVB6lghxz2PHXnl4jT9j/VP/Z/H3fLbLMwUuDVVEToSCSIXSs0SIey4fXb/2zT/+vx57ckG3E0JDFZEToSBSofQsEeKeJ/7Vv3n0VxI4h2moInIiFEQqlJ4lgkZuf+t1v6iLnWmoInIiFEQqlJ4lgkZur39Nt59+d2ioInIiFEQqlJ4lgtzzhus/+QXl818Y4jd1FoKcCAWRCiVCIsg9R675gbveKdx55797XLfG0VBF5EQoiFQoPUsEueevy0+JCmuvHeK3RBeCnAgFkQolQiLMPYfXLa8ufs6tNQ1VRE6EgkiF0rNEkHu+8zUfffhnhf/9s7+I+55mlj8nGEQqhMBZA8y5BbP8OcEgUiEEuef117sfrO5EQxWRE6EgUqH0LBHinl8++f2f1cXONFQROREKIhVKzxIh7vnyld1uNzsODVVEToSCSIXSs0SIe1LSUEXkRCiIVCg9S8A9tUw2JxhEKgS4p5bJ5gSDSIUA99Qy2ZxgEKkQ4J5aJpsTDCIVAtxTy2RzgkGkQoB7aplsTjCIVAijck8b9KR2ICdCQaRCmJp7WqFntQPuCQXuaUtDFQ8c+I5gooPZCj2rHXpuIHpSO+CeUOCeKqKDqeeHEK3RBj2pHXpuIHpSO+CeEOCeWgbQiJZog57UDj03FD2rHXBPWxqqCPeEMjqDxmpo3gYwTonO7rmwNTvBf7fN78HbpybsbM1ma/fqikNDFeGeUFYmUm3Qk9qh5waiJ4XT0T2XyCRV7rm4IWulBy9Sc3ShDNwTCtwTip4biJ4UTkf3nD764ePWPY5V5sf56Vfb8mSSIg1VhHtCQaRC6Vmi88iNjFJ2j33yYvnxVw1VlJbqciNxLWWQE6EgUiEkdA9x5Ixsi33qLzVBlxuJaykTLDGQQ1dDYrqRSusee6fT9MR5XSgjLdXlRuJaygRLDKHRUSKQASRWpBkREsncw1zY0Of8NrlHH4Bfpl3a6UntCJYYQmP8EqEMoLHfEhpQj6TuoQ7IzBM0jdy0OmXGlHZwT4u0G0JjvyU0oB79uMfOGpSfwtjQPbbLCV1uR7DEEBqrIdFVI5BxSqRyz87WwzJyOyFPnKdeZ3N3fkrHcS4NVVylnNDlRlZDYtKR6uiei2auYP0y9TZmQdxD/wmlgRs1RxfKICdCQaRC6VkilXv2Lt0ym62dpL7GvPFz/thsdvScOciloYrIiVAQqVB6lug8cvPZ2SgP1xwaqui29OMHmT/1ucrVAYI56ZxgEKkQkrtnuzxT4NJQRbelH/8T/1OXhOJqmmB6Bt3b+8w30vpdupJGo5HVkJh0pJK7ZwENVXRbOoR7ihJ77z/4QV1ikmhMwaAr0ow4CbhH+cw32qwWkmgMYNBmBpBYkWbEScA9yvudLoJIojGAQZv7tzQSzQygMVqJsbqHUyLPveJqmmAWU3u++ZondVFIojGAQX2NYv+WSIKjjzvECkbqHuGOwkAnX00TzKIj55tv3KT1zEJJNAYwaHP/1ovEst4hNmrESYzZPVde/mZdErLVNMEUMkdeeTmnyJWX2wRPojGAQZv7t14klvUOsVEjTmLM7vFerLPVNMEUMkfON2Xh/TbC6TT6NaiXE17I+pBY3jvEJo04iYn3PVm26UIP7unZoI39WyKJQtp5Bk2jMYBBmzXiJMbpnvkmvV7PN7l9H6eRqbPKpAmmkBvUBPOO9BoDGLS2f0sjsZJ3iJ5GnMRI+x65YNK8j3Ni5KtMkmB6BqWOnHwkS0ISDWEAg9b2bwklVuAOsUkjTmLMIzfB68SZhMHMDWpmYDRD0mgMZlAS0Szw+reEEj0PQJme7xCFtL302N1z5eVZQmckDKZQYdA0Gv0bVKnr3xJK1Bk0ocYABq3ViJMYu3veb19/HBIGk6kyaGqN3gza3L8lbEWdQRNqDGDQWo04idGP3CpIGEymyqCJNXo0aGP/lkRiNe8Qk/TScE81aTUGMKhNhwJpJFbjDrGPXhruqWYAjcQSuEOswG1GD7003FPNABqJJXCHWEH1xUjWS8M91QygsXwSy32HmJGulx6bewJJGcxKBtBYDYnEGkPcIabrpSfonlBSXrAqVkNiRZoRJwH31DKAxjhzggmWgHt0eQgaqjhU2oUygMY4c4IJloB7dHkIGqo4VNqFMoDGyCV0uZkBNEYrAffUMoDGakh00tDlRkYrAffUMoDGakhMN1Kjck8b9KR2ICdCQaRCmJp7WqFntQPuCQXu2buwpU+/2tmazdbulUWiuJbTUMUDB74STHQwW6FntQPuCWXy7rlEJjHuuWge4KMPKi2uOTRUcRD36PkhRGu0QU9qB9wTyrjdc/roh82z4+bH+Wlx9smLxTWXhirCPaHouYHoSe2Ae0LoPHKzT17UJ5Wax8UV11waqrgy7tHzA4iWaIOe1A49NxQ9qx1wj3VP8SnZTc/M1oUycE8oozPoEBp6Ujv03ED0pHDSuYdHaeQXudUprrk0VBHuCWVlItUGPakdem4gelI4w7tHH4Bfpl1O6EntaJkTelY7RtYMRCqURglNX4/hR25anTLIiVAQqVCSSWj6eqSeNTBPLS2uuTR0j+1aqie1o2VO6FntGFkzEKlQIiRSuYf6mc3d+Sn67zT9y9fMQTkNVUROhIJIhdKzREf3XJQ3Rfku57RZOksL5JlszaehisiJUBCpUHqWSOaevfPHZrOj5/b2tmWqwK75NFQROREKIhVKzxKdR24+Oxvl4ZpDQxWRE6EgUqH0LJHcPdvlmQKXhioiJ0JBpELpWSK5exbQUEXkRCiIVCg9S8A9tUw2JxhEKgS4p5bJ5gSDSIUA99Qy2ZxgEKkQ4J5aJpsTDCIVAtxTy2RzgkGkQoB7aplsTjCIVAhwTy2TzQkGkQoB7qllsjnBIFIhwD21TDYnGEQqBLinlsnmBINIhQD31DLZnGAQqRDgnlommxMMIhUC3FPLZHOCQaRCgHtqmWxOMIhUCHBPLZPNCQaRCgHuqWWyOcEgUiHAPbVMNicYRCoEuKeWyeYEg0iFAPfUMtmcYBCpEOCeWiabEwwiFQLcU8tkc4JBpEKAe2qZbE4wiFQIcE8tk80JBpEKYYzu+eKbDv4nf4l56uqDB3UdOREKIhVKhMQI3fOxzCP5EvPpl/3Lr3zlfWZD12BmtnQcybDiQZJhJpsTTBuJ6UZqfO4hk3zM5HO+JNz+l/4/pz3/3zWYmS1dRxIi9zG1T0eNOoOSZubQrjlRoyGvAQe/4Zd4uatECANojFMilXu2zcMU7CNHdrZms7V7dcWloYp5S3PPOO556mrJuPf98f9B/3cLZm5L15H56t+RlW4adQZ1F7vmRO2LgMTI0FGizqC02fqzs0bt60y2o7dmuBoREv245+KGrJWeWsrN0YUyWUur3fPpl8mi2dI1mFpMwZHE7ZwPT12dwD21BpVEt3RrRq1GQvfUGfR2WnvqarVPN43a15lsB9FTM1yNCIl07nGsMj/Oj47blsf6eDRU0baUm2Rbly/ZRfOnYzBtMQVHEp9+2Tf80hfflCQnbKm+Qd9nX7CZRM3wNdK5p9agghXspFErke8gemqGqxEh0Yt77GNLY58dlwctX7KL5k+3YBKmmEKZDN+TmJ6nu4Yp1TNoMf8SNcN/EUg5ctNSfYMKSdxD1EpkLeqxGZlGhETSkduRM2al/pHZ1BxdKOO3tLhUTJFEwdTic5X3HfzzLzuo+Z0mJzyJL77pb/MdQyKJag1aIBJltpbqG5Sx0yuJIlUhkS/314xsOUIi8X2P6YAuypiN3FO+8Wl4rLff0uISNdx52ej8APLqYN7OhX9Mc7urhilVy7YST13NEk9dnUaiWsNwu1nrSUJmDdQ8/USKyZf7i1S23Cih6euRyj3MhQ19SHYv7jFjHh35JApmwZH+apqc8AyqE3qJJKo1DDr5kUhCyy5ImFcCIk2kKiTy5f6akS03Smj6eqR0D3VAZp4g+chNxgjyX5Z2elI7fImCI8vu0bPa4eWEZ1DVStsMT8OQvc7oSe0oS+iFkD9KktlJolYiX+6vGdlyhEQv7rGzBhWPMG2oorZU3kyUO4N8ybSQh/OaIImCSX+sI3npi2/ipU+/LGVOeAbVOTeZGk/WDF9DyPoePakd5bSrN2iiSFVI6FUi+mtGphEhkcg9O1sPy8jtxN7e6dnmYzfyjPUpHccVaKhi3tIShWleplswc1tS7NSRJoi383YJcKqcoD+uQY03ZYlIlBOexhffRBvtxHsiiSaDJopUhYQ2j+ivGZlGhEQq95i3R7nrIffsnpa1ioEbNUcXyuQt9XnqahtES+dgligZtJtGvUFlT/wFY7QZtRoy58abic6R0uwqGlSuiOmqia4alRLODqKfZjg7oiRSjdwu3TKbrZ3kvkbe+Tl/bDY7es7sKtBQxbylPu/TTMjpHEyfskHTayQ2aCVD9dKuQbtp1Eo4O3prhqsRIZH0vofZ2agYr+U0VLEhJ0p0C2YFZYMm1xjCoEvYS1exLK8zyd2zXTFV4NBQxYaWlkgfzDKpNQYw6Ir00kvzOpPcPQtoqGJ9S8skD2YFA2gso8QALwJL8zoD99QygMZqSEw3UnBPLZPNCQaRCgHuqWWyOcEgUiHAPbVMNicYRCoEuKeWyeYEg0iFAPfUMtmcYBCpEOCeWiabEwwiFQLcU8tkc4JBpEKAe2qZbE4wiFQIcE8tk80JBpEKAe6pZbI5wSBSIcA9tUw2JxhEKgS4p5bJ5gSDSIUA99Qy2ZxgEKkQ4J5aJpsTDCIVAtxTy2RzgkGkQoB7aplsTjCIVAhwTy2TzQkGkQoB7qllsjnBIFIhwD21TDYnGEQqBLinlsnmBINIhQD31DLZnGAQqRDgnlommxMMIhUC3FPLZHOCQaRCgHtqmWxOMIhUCHBPLZPNCQaRCiGZe3a2ZrO1e3XFW3NoqCJyIhREKpSeJVK556J5gI8+qLS45tJQReREKIhUKD1LJHLP/Dg/Lc4+ebG4VqChisiJUBCpUHqWSOQe+6RS87i44lqBhioiJ0JBpELpWSKRe4pPye76zOzFICdCQaRCiZBI5h4epZFf5FanuFbgAABLiKavx9DugX3AMqLZ6zH0yA2A1SHxrIF5aGlxDYAVJZF7qJ/Z3J2fov/2Ts82H8vXAFhdErmHPCNQl0Pu2c3XAFhdUrln7/yx2ezoOVrY5rmCbA2A1SWZeyw7GxivgYmQ3D3bmCoAUyG5ewCYDHAPALHAPQDEAvcAEAvcA0AscA8AscA9AMQC9wAQC9wDQCxwDwCxjMs98/s3ZrOtR3jR/iJcxaZONEpsp/lseIXGo3fTpqPm2089NSOXSNOM6sjfPTNfPEnSimaN3prhFNytGaNyz/y4tIq/1m1/Ea5ikx4cR7NEoutVq8GfAey5GSyRpBkVErT1Iv3lzE7SigUavTUjL7hjM8blnrefkdbew/+bX4R7tLyJ4hBPowSFtWM6CBUan73lDH9vsM9m5BJpmlEhcXnvyo1rJ2klUSuaNfprRlZw12aM775HEqD4i3AVmzpRJ5HIPUKFBv3tuxkikbAZvsTp2Qn+9qOn2o06jf6akRXsqEYxPvdQt3rW+12Rik2dqJPg/2ezI2fkoI6UNeg1jtZ6bYaRSNgMT2JnY/2yZHbCVtRq9NeMrOCuzRide6gpcnW4M6VlfpGo2NSJWglzvfh1qjO+Bv0zt/T9NSOTSNcMT+LdxynN1D2pWlGv0Vsz7skK7tqMsbmHRqL8cuA2q2JTJ+olhAsbcum6UdKgfwTldn/NyCSEFM3wJeRmPrF76jWEPpohdZaCuzZjZO6hoYf0ok6XWrGpEw0Shs73wpUaBF2w9cs9NoMQCV5I0YySRMbZVK1o0jAH9NAMUzIX3LUZI3OPNjS7naPGVWzqRIOEIYF7aurMdyU9NsNstgV3b0ZJ4pgmNt+cpGlFk4bs76MZNlLrl7s2Y1zusQ3ll4NN84twFZtkNZYmiZ2th+Xl+4SsxVPW+OTWOSr+RrpgvTUjl0jUjJrIy6gqUSsaNXprxiezgrs2Y1TuocYI9Gpz2iydrdikB8fRKEEvRWZBD46kQkNL5vF1X83IJdI0oy7y5p4kSSuaNXprhlNwx2aM1T32F+EqNnWiWeLSLbPZ2smOr6eVdeaSZ/ya11szHIkkzaiLvN7Rp2jFAo3emuEU3K0ZI7vvAWCJgHsAiAXuASAWuAeAWOAeAGKBewCIBe4BIBa4B4BY4B4AYoF7AIgF7gEgFrgHgFjgHgBigXsAiAXuASAWuAeAWOAeAGKBewCIBe4BIBa4B4BY4B4AYoF7AIgF7gEgFrgHgFjgHgBigXsAiAXuASAWuAeAWOAeAGJZCffoz/qHsd358TyrSasg9sdSXZ6RueeNBzLWZcO2PD6i8hkRFGe93AsufH4g03h5Svrz+zdms61HZLmaYumL8ATs8zHkARm94YiaZlXFIIl7SkoUweM1D+6tDlzj5RkbI3OPBl6QDcY9Vc8nmufRr73w8lRX50Cm8fKotCAbjH7DGV7pi9CyBVpN5R7z+No6VM/AG6piUBPE5pJ9VMNgNvGzpqpKrgmcVK2d6P4xOvd8RcmylyJ/iR+QJ6vVNLvHY4F7vkMx+nTp76H+56TsTMGBA1+l2OxqrlAgi9zzIUvv7rnNYtu3PfuxNs8FhXviqXaP/r+zNZut3Wse/XWUn9VLcZ7fPZvdcV9h9/z42ifuoq27dASx9pAceIGfrEbbzGl1VLjH9nq2+O3ZmeOzdx+XUjjjpDx+BBk/jMweVEu9e6Tce7J65q2w7XW27F1gnfdKa/gsbSgXU0Wle5zisiBSV0jNFR9lQZaSTaNNTWtfq4iye67cuPYJbhepkBpxwrbUlCaReyzX5a0q6tRGT1kY3oFZlr6HAn1Rgj+7x4x2NG3NyIoPsrtloM1kV4EP1CGSnMEXrQbfPXSaJGmubgo9cZpfHUnJJIF5/OXZ/KBamtxDnMjqmbfCtjffonq8ZM7ShkpxFdS4h0/KC2EJktJ8taJaspHJG11H2T0XqRAxQK5nCpNKaEtOL3YPcWJxeAdm/O4RTPTpVef8xvpDG3QNL7xN3EMBPrFLHYTkltl9mZbWztGoWhzFIwDJlQ8+vLd3hlflotXhu2fvPKtTr5IXTzU6o52SPKqcypNazO8+mx8k51bR6B4qN6tn3oodbS9veYi2SFqR3n3sF3OWNrSOOveoQB7EPF+taBZClpHdjc9nL7tnm5JdTqESH6GijVm5zlwJjZznHhXNa2NOCQjvwCyHezYpXnR5hbWzG7MjZtBygsLMl9Jcbt39EAWZXp3kAuTu2bt0Fx9Aq7JWR8k9dB6d5hZvzicR7nLM5bYJlR/Ea5U0uUf+2HrmraBSpb1mC62dNa2W5NKzTEPrqHOPCuRBdN1jRN0Qmj/S6DpK7qGBG485xUK5e7LCNHIFn9BOI+pvDQjvwCzDyI2iVojdRV4yQyYTZr3cujtPC+fS05VgaFUuRB1l9+ztPXoqf0o5Fa/n8yiGX1e5PCOTxD1ZPd1WmPa67mE9SS492dagmoXu4ZM5iE6+qqgTQoJ8pjcxNZTco4MtKpH0GCrfabDW2/eJ2exvDQjvwCzFfc9pDpg7YvjUXZrGbt9jd1e6Rw6UVbkQdVS5h6/iPXnxej5t+DC/rvK63elWsYZF7snq6bRC2+u6h3V4yZ6sx9UQ0ffQQSKqJasM7f8xaXQdJfeYsQNxlnqhjdmaHbLpH41YqHuapPeDpXAPhVGHyHvz+992/m2PSGBN9Gcn+T8dvPNufpHL3cPx5gNp9REa5NM2uRB1+O65yG+U0r0PXXtbvJ5PKjdLltG67Jzfd29+EB9RyWL3aD2d5Nb20ha575GxHOm5rTENrWOBe/Ig0ja9A7KiWrLKUCrLPWgtvnukCPlDHbQpotBgidj8vvdmumanEc1rY7bKwc3hHZjRuSdHNoh76H+Kpk40bcqNPF10iai+ttFBdrfrHoo3nckH0kVgFrsnh9fzya2seHs+byAdKc/svCc/SI6oQssWdJMWaP5k9cxbYQY/skWgw7TVdICebBrKS1WonoE38FlOmCqCaEWdEDJcPW50HaphoHWZpSPI6Z+VMekRuu93G6yRywMnW7U53taA8A7MyNzzQg088TzZYNxDF42uGb81sHZy1354RiLKbyLc8ckNPkh3u2mxd36DXsvlQBrHr33wxkXu8fXn91Oh5vbZFm/PpzpJvsr6GVrh93vsQbWUGlhMpryeeStse2nLu6m1UjrpzY44oyDTUFmqwBE1qnyWE6Y8iPLODy/ln1DKQ0jQSfUmJXwlex6Z8d9SgUw22jR/TOQyXd1qmuNvXRzegRmZe0A9Jt33GfNqFsM2DQ/3Lm2NoA3pgHuWhjG4xwwCotDhYWPXtWzAPUvDGNxj72MimN9NQ7e1O5o+rr50wD0AxAL3ABAL3ANALHAPALHAPQDEAvcAEAvcA0AscA8AscA9AMQC9wAQC9wDQCxwDwCxwD0AxAL3ABAL3ANALHAPALHAPQDEAvcAEAvcA0AscA8AsYh7AABRPO3X6gIAoBWf+HW/CujMyetY93xjAAAAAElFTkSuQmCC">
          <a:extLst>
            <a:ext uri="{FF2B5EF4-FFF2-40B4-BE49-F238E27FC236}">
              <a16:creationId xmlns:a16="http://schemas.microsoft.com/office/drawing/2014/main" id="{CAFEE4FE-DB04-469B-8CD2-B2B1FB70275C}"/>
            </a:ext>
          </a:extLst>
        </xdr:cNvPr>
        <xdr:cNvSpPr>
          <a:spLocks noChangeAspect="1" noChangeArrowheads="1"/>
        </xdr:cNvSpPr>
      </xdr:nvSpPr>
      <xdr:spPr bwMode="auto">
        <a:xfrm>
          <a:off x="73247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304800</xdr:colOff>
      <xdr:row>196</xdr:row>
      <xdr:rowOff>111125</xdr:rowOff>
    </xdr:to>
    <xdr:sp macro="" textlink="">
      <xdr:nvSpPr>
        <xdr:cNvPr id="2054" name="AutoShape 6" descr="data:image/png;base64,iVBORw0KGgoAAAANSUhEUgAAAz0AAAH2CAMAAABtBhIZAAAAAXNSR0IArs4c6QAAAARnQU1BAACxjwv8YQUAAAL9UExURdnZ2dra2tra2tnZ2QAAAACw8AEBAQGu7QICAgKr6QKs6gUFBQWn4QgICAih2Q0NDQ2Yyg8PDw+WxxYWFhaJsxiErCAgICB4mCMjIyNyjiZthysrKytidiwsLCxgdCxhdDAwMDMzMzNWYjg4ODhNVDs7OztHSzw8PD09PT1FRz4+Pj5CREBAQEFDQEM+PkNGQERDPkREREU9PUVJQEg7O0hFPUhISElQQUs5OUxIO0xMTE84OFBcQ1M1NVZPOFZWVlhrRFkzM1lZWVlsRFpaWltbW1xcXF1TNV1dXV5eXl9fX2BgYGFhYWJiYmNjY2RkZGSAR2UsLGVZM2VlZWYsLGZmZmcrK2dnZ2hoaGlpaWmISGpqamtra2xsbG1tbW9vb3AwoHBwcHFxcXJycnKYSXNzc3QmJnR0dHV1dXZ2dnaeSnd3d3hlLHh4eHkjI3lmLHl5eXp6entnK3t7e319fX5+fn9/f3+uTIAgIICAgICxTIGBgYKCgoODg4SEhIWFhYaGhoeHh4e9ToqKiouLi4vETo2NjY4YGI6Ojo7KT4+Pj4/LT5CQkJEXF5GRkZHOUJKSkpLQUJQWFpV5I5WVlZaWlpiYmJqampubm5ycnJ2dnZ6enp+AIJ+fn6IPD6KioqOjo6QNDaSkpKWlpaampqenp6mpqaqqqqurq62tra6urq8ICLCwsLGxsbOzs7S0tLUFBbWOGLW1tba2tre3t7gDA7i4uLoCAru7u7wCAry8vL2UFr29vb4BAb+/v8AAAMLCwsTExMXFxcfHx8jIyMnJycrKysvLy83Nzc/Pz9DQ0NKiD9LS0tTU1NXV1dakDdbW1tfX19jY2NnZ2dvb29zc3N3d3d7e3t/f3+Dg4OHh4eLi4uPj4+Tk5OXl5eavCObm5ufn5+jo6Onp6erq6uvr6+zs7O3t7e7u7u+1Be/v7/Dw8PHx8fLy8vPz8/T09PX19fb29ve6Avf39/j4+Pm8Avn5+fr6+vv7+/y+Afz8/P39/f7+/v/AAP///39SIw8AAAAEdFJOU4efx9+nhZkZAAAACXBIWXMAABcRAAAXEQHKJvM/AAA4FklEQVR4Xu2dDbhlV3nXUacFUVFQUNSKFsSvsWqlIo2Gcpy5kl7IVUkkbU0p1FFHJdyRRqzcFmPHSQVtTROnTjD01hpMpZiCNSZIhnGEUQZGHUlrI6FQb5mmOGlSczPAAe7T933Xu/Zee+2Ps/baa++7z9n/3/PM3P25/mu9+/2ftfY6H/tpT/sEACCGXwPzABALuWcPANAeuAeAWOAeAGKBewCIBe4BIBa4B4BY4B4AYoF7AIgF7gEgFrgHgFjgHgBigXsAiAXuASAWuAeAWOAeAGKBewCIBe4BIBa4B4BY4B4AYoF7AIgF7gEgFrgHgFjgHgBiWRX37GzM1v7b3t6lrdnaQ7ppYBZJz+/fmM2OXta1MIKao01fXfbxoi5gVdxzcTabnd3bO01/TuimgVkkvU37pY4tCGqONn112ceLuoCRuefKcU6x2Wxt65xuCWT07qEeglmY5jYCFIOHotwzzwoYacq1Bu4J5MqN5roTm7u6LQhNIR7F7FMnv0CaU+DM3qMLG6UuI6i0oOZ47okO4di4jxogA919vKgLGK97ZvfotiBGP3wh96yH3PQU3BNEvXuWu++hoW5QxPaREbqHXDOn1512r5wr5Z52WV/hnpUYssE9bVH3yOBdQvfo/TdTcqzd8Yjsnp8/Rmv2nuhTt9DKkfeKyTSFuJPnqbcbqdO/dBdt0xOLByuF0mTF3m65B5fKKlTpoY3ZCZ5NO2GliUt3cf9RuHMzUwb6ilDYnxdgKLinrjmFKjS6Z0EkXHXZzqxfphcvMzvI1+HdvMAUQlRoREnFCS3tM9Wjeq7TXj52l49dO7lrJiK35BzZ/ujddt1GTMevFZGtaNrQjNg9nGmcSwa+APaGWMY087vNilnTFMpNtH7GnGrGP8WDDYXSrmzlK8WD/bKKVSLBzVO0vLlrkzg7252edtzj7c8LMEdy8Vny1zSnVAX5qxTd459aDptV5xszw9pDvCxFspIdQVeGyDTCV3FDy0VIWaSl6+s/YXYf/RlTpJzD2z+iZdDxjntsAxeI7gMjHrlxwDhwBu6JsgvMu2x4zS6NsP7hK2aRTCoebHBLs5dbrkPxYL+sYpXsWu6e/OzMEflG2uLtzwswR7JchXsyqqvAwkrJPRkVkcjVnQPXL2eVoBjZzKwJkVTcV3FDy/ukeqTFp7rHWvwyqGpWgU6xDVwgug+MdtZg7Qyv79xwx8N04ShuFEW+ftzbnz+mF4VW9s6bi6MR1j8S2KOP7F2gv9YBzsFCoTQ+b/MRGkjcIAMF9+BSWW6V5MTZid35L7jSazS0+CS3xGoRlFB8dml/XoCB92e5UNecUhUcoTyEXEzpVPrrhc2oU2E0ruJhFvc1vEZHc4ysrflQN0RuIzyV0oWS6lEBmXuoIHEYXWWWzLZTGbzu1qEQhQbR/WC07ikMZs0V4ItyQq8lB99cVwoypYlG2Am07NXXTu9goVBadqUI72C/LMVUyeSUHK3S2VF8QGYD2S4K/v68AANvNtDWmuYoThXojyUPIZ/in0p/jFoeNlnnaHAhtJ8r7QjbgZsXokIjPJVCaLWWUiafZI/lg6yku120uQ6ZoFZmgeh+MF73aOgu3EJBYih+FM9sAoGXLRRDjbB/1fWKeQcbnNLkcstGwjvYL6tYJRU0u2mJSzIK+ZJAl5gbVNqfF2BgOUO+M7QKQrnvaYhEdi7XhheomnwaF0J/nbzkA2yISo2oUrEXiveJhO7LjqWDpBCtQ7adtXkH7Xfds1B0HxjprMElChBfLA6UQgHW+9ajFCpnh4RSL4F/JUxg/YMNTmmaLIJ/sH+RilVSQbOblnivlmSzw+C4p7A/L8DAcoZ8Z2gVBLctCyORn0u10WGTHC6py0fbJvghKjTCr6ATWtknErovO9bGR+uQbefSOVRSBd5gDlgoug+M1D2yQBGiOFn4CsgEpywX0uBkdgn8K2EC6x+s5KXVuocO9i9SsUoqaHbTUukaW9q4x1bF7gytghDunjxseqBgElF2ZCcTrdzjhFb2iYTuy4618dE6ZNu5dN5B++GeVmTu4VitX+ZVfo8guwL6rsTmrg2xRS+BfyVMYP2Dc7Q0PzXcg72yvCqpoNlNS/nZXjltRm5Z8uvO0CoIbltKp/qNy8/l0wQ52pTiDNwKxZYa4akIGtrSvmy9zj2sxDsq3LNQdGDG3ffYVQ5UliAmD7PYGvQS+FdCA+sd7CKl8fXIDvAO9sryqqSCZjcv0dnmUmbnGdQ9pf15AQbeHOCeyioIvLfWPTVhMxl5Mx279bBsl/oyWUl+iAqN8FUMpsm8j0vhAnhfdiwV4rsnW+cTsqrqAWGigzJS9zzKb+GdUA/JnCTFb35cJmppF0WVQ3qUL/Wn7rqBQqcR1j9+YL2DhUJpnCs8HXv+ZvP2gnOwV1axSlbQ7LYb6AZCDnCvqXWPvz8vwMByAe6prILQ7B4+uBw2OcutrTmxUHApRE4jPJVCaLk+a+fMnWzh2Ar3cKHyl2Vpv/lcrR6wQHQ/GKF7LBwRjqBi7k4MlB38UqbwgU6E9Uq4gfUOFgql5StmiKDwwX5ZhSpZQbObl5yzzWmKdY+/Py/AwHIL3FNbBcEJISXngkhk59rtR25+r3nnyWyQKhtqQiSleyqF0Lq1ZcnsWNpeco+SbZdT9IAFovvBeN0jAdGQrtEf55rJBzXsB0fMkRph50oUAls8WCiWZq8d7y4e7JdVqJIVNLtlKT87n58grHv8/XkBBi5+kXvqqiA0u6c6bISWSchhpq/Ja0LYI3i/1whPxbtQWqF3H5dTs2Mr3MNjR4Jv6ux5dIqtZLPofjA292jc17bOcWD5c4G0tvUIRZrid+ku89lDs0vf9DAvlhRK/iSh/uGJV/mswkO0bgLrHmwoliafT1zTYb97cKmsQpV4o/kEo0oTF/h+2b7dYaFkNN9W8fbnBRg4RbLPZdY1p1CFXFhwXqIpORdEIlN3X9glp7lYk7QZXohot22Er1IMrX6SkyTYFtmx/P0dPkDrwHr38KH86VHBnCevANrARtF9YGTuAfsEmVsy8FFykekj2U/OwK13xD26vCzAPYChbmyd3fMp6vryvscduPUN3AOWFbnLUUwOk5+KA7eegXvAsuLc95jJDr5nH3LgBveAJcZMJhyxkx2DJzPbVSYBlgi4B4BY4B4AYoF7AIgF7gEgFrgHgFjgHgBigXsAiAXuASAWuAeAWOAeAGKBewCIBe4BIBa4B4BY4B4AYoF7AIgF7gEgFrgHgFjgHgBigXsAiAXuASAWuAeAWOAeAGLp7p679ccnd7Zms7V7zTZ/DYBVpLN7+Afu2T0X+dfAsp8AK64BsJJ0dc+VG9dOsnvmx+n/+Xb+C+LOGgCrSVf3nOanW5J7djb0YRjy08fFNQBWk47u2dlYvyzuuSgPsLhyo/FLcQ2A1aSbe2iEdpa6H3EPj9LIL3KrU1wDYDXp5h4xTjv3/F0Alg/NXo9u7uFnvAhnQ0duBw5odQBYIjR9PVK5x84TyOP7slkDs+Zy4IAuALD0dJw1YGTkRv3M5u78FP3Hq/maHpMB94DVIZV76H/TCdl7IV3zgXvA6pDMPXvnj81mR8/xaI6nCuyaD9wDVocE7imys1EerjnAPWB1SO6e7fJMgQvcA1aH5O5ZANwDVge4B4BY4B4AYoF7AIgF7gEgFrgHgFjgHgBigXsAiAXuASAWuAeAWOAeAGKBewCIBe4BIBa4B4BY4B4AYoF7AIgF7gEgFrgHrDBvPNCCdT0pHLgHrDDqC+Wrv+bgb9VFWTl48A/+Bl0T9KRw4B6wwhw4cFvOW8guf1OXb7vtL3zrbbe946V/7B/p6m23wT0AuLju+Yd/8lvf4rhH+Kt/9O/rEtwDQJFC38O9D9wDQCAL3POWgzR8s8A9ALg0uOcHv4lugxzzwD1gmeh5OplZ0Pe846UYuYHlRH1hWDSbHJc3i+573vHSP6dLcA9YKtzUXjCbHJPazCL3/OA3/Zl/rIv74J5H796YzY7yL1frg7DsM0d2tmaztXt1xQHuARYntRfNJvflnn3te+bHxTL8w+9F91wkUxHlx5bCPcBSTO2e3FPg2WZ0+OyDzzvwjBfS4ld/zR/+zbLDoCeF0809V245I0+6IpeYx/Yo5KrN3fm2PPu3CNwDLM3uKcwmp3DPb/r9NDo8ePD3PcOY6Nm64qAnhZPgvmdno+Qe+9zS8sPj4B5gqXdPaTY53j0fquDWr/9JXXLZF/dQF5ON3I6cMduanpmtC2DyNPc9hdnkpO554Kof0qUCw7uHDFKcNTAd0EUZs9FOpz8y4Inzy8Ef0MFMGL9Xz2rHgvse946e3KMntaPSPbe+4j/qUoFGCU1fjxTuMfYhLmzoU7LhnmVHbaEsfDNGz2rHAve4s8lJ3VPD8O5hyDN2dsDOE2DktuwUMnuQN2MW9T16UjvauUdPCieBe8gz9lml1j121sBuz4F7lgM3s/t7M8ZlwWzyCrpnZ+sc/XcjeWZn62HphU7IA+ip19ncnZ/ScZwL3LMcFPuFcseQ2D2LZ5NX0T3mTVG6vdEl6nrYPfweEFMauME9S8IC9yR6M0bz1qV6NjkmtZlxj9wu3UIe4W5HltZOUl9j3vg5f2w2O0odkw/csxw0uKfXN2NqZpNX0z1ldjbKwzUHuCcBI/tof0r31MwmT8U92+WZAhe4JwHqC2XRdLKe1I5F9z1LMCHGLJt7FgD3JKCQ2ul/KYZZ5B7vzRg9qx1wT1vgngS4qd3DL8Uw2m9ZdDo55xkv/F26JOhZ7YB72gL3JGBRx9Cbe5bqzRgG7gE+C9zT9ZdiGDft3vMSfvvlIN3Pv+vgD32I/jMrOXDPQMA9CWhwT4pfimGq026p3oxh4J4lozCdvGg+bJS/FMNUpt1yvRnDwD1LhvpC4E+c5O75Hc/ju+2Bp5NTpt1yvRnDwD1LhpPa+/VbFx1/KYZpk3Zwz1BERmGJKKZ2T+4psGA6WU9qB9wTAtyTmmb3JP+tC2LBdLKe1A64JwS4JzX17unl45WLppMHSLulcY/E6u/piglVtgb3LKT48cohJsT8vqe/37pI90sxzCq651Z+ecnQF5vcPhES03KP2sIwyIRY6b6nt49XpvulGGYF3fOelzgdzYc+dBP30A9e95d1Fe5ZiJvZw0yIlSR6+3hl7S/F6EntWEH3eH3zTbz6wFVwTzDFzC6n9gDuWcGP9i+Hex68rvjy8p6XfP1PPnid46gICbjHoYcJsSl8vHJZ3PMXr6Oxem4hnkPIex64ZyEN7kk4IZaxpL91wQzunuJ8mL+aQOKBq77uR/n/zD63HvyzL3GnJyMk4B6H/ibEVvrjlSk0ivNh/moKCZ0guJU9xNzEC+9y7BMhAfe49HVTstofr0yg4c2HeatEdwm977HuUYnMTMvunlZvxvTy4eTeJsRW++OVCTS8vrncVSdohilUptqIVXOP+sKw8M0YPakd+9X31LEaEt01vPkwf3qMSNCM97yEhm7y9ij/9+B17BvZpkRIjMo9mrbEoN/Wx/eNywztnsJ8WGl6LE0zZCaCh9DyMYMP3URrHScmRuoeom/3TGRCLImENwP24HXFm/rOGt58WGl6LHGkqudwIiSWxz2pv62fs9ITYikkvBkw/nhlWvd482H+9BiRMlKjefpVaxqq2OCeXr+tj+8bV+BKlCfEzNAno7OGNx/mrTIpI5XuM03L0/f09m19fN+4Alei3Dendo83H+avEuOM1BLd9/T1bf06xnnBmGElKmbAkrunOB/mrFrGGamO7nn07g374MWdrdls7V7ZShTXchqquMg9+La+xZWQ73gdtK/SD1wlq87nt7pLVMyAJXePmZfgQk3R2aplnBejm3vmx+UxPfzD7xfJRgQ/fYQorjk0VBF9TyiuxLucmwOLe6PSXaJiBiy9ezKWagqnm3uu3HJGnnR1D/toc3dun7xYXHNpqKJOE1vwbf1aXIkq96S9YaiYAevPPcs1hZPgvmdnwzw7Tp5Uah4XV1xzaaii2kJY/GaMntSONsEc6QVjXIkK97hf+UogUTED1p97lmsKp7t7qIuhkVvxKdlRz8yubml1Tz5AMEd6wRhXosI9bp6nkCjPgPU4cqthnBId3UMGMbMGF2WURqtyq1Ncc2l4KH5lS2vf2dKT2tEmmAk0inf09CLurjEJmiEaBQcV58gSSHgTYkTJPXpWO9pcjf2W0PT1SOEetk9f7ql9Z0tPakebYCbQ8PqFmyj1HrjKtU+qZtzkZnMxtVNIFCfEZK0wBzfA1dhvCU1fjwT3PRc2yCu9jdyqGaAjT6BRdUefelgluHc6he/qJ47UUk2IMT1LJHDPHt/42HkCdk0+a2DWXBqqOLJgJtAYzD3uYM37XE3KSOEzTR7d3LOzdY7+u5H6HupnNnfnp+i/0/QvX9MDMxqqOLJgJtCocE/hDfRkzXD7HvnGcU7KSOEzTR4d3bPBtz3yruhps3SWFsgz2ZpPQxWHDybdxudZx7ffhcTrruHd0cusQeKO4cHrqDswgzVjzMJ0NZEmUs0MoDFOiY4jt0u3kEe2HubF88dms6PUFW3LVIFd82mo4vDBvPXrXpGlmnwKv/C6neiCFe7oKbkTS4hDpU8wswX+72kkakUjA2iMUyLFfU+BnY3ycM2hoYqDB/OBq/5p9kOs5iU78fuMgtcZ9CFhwDtjZXqWSO6e7fJMgUtDFQcP5k2v+A+Ze8y9duGtkkQXzPuIch8SQrrvfDFtLsYQGuOUSO6eBTRUcehgvudP/2j+I+A6U9XDV0qG6nvSfeeLaXMxhtAYp8R03cPOyd1jf2IlpXu8O3rpHIyOZZw5wbSRWJFmREhM1z3voqzO3UOLfPf915L2Pd4dfb5qGWdOMG0kRt2MNuhJ4YzXPc50ch/f+XrgKhqqOe4xyENdlJQ5sdJv0o+6GW3Qk8IZr3vc6WQh7Xe+pCNg3Hvtvm5KVvtN+lE346uCiZAYrXvc6WRDD3f0ft/Ty8doiNV+k37UzVBrBBAhMVr3uNPJQh/9gnFP9umZW3v5GE0DqyEx6maoNQKIkBirewrTyUIf/YJ1D42r+HdZXYVVSe0BJOI12qAntWOa7uG0LrrH/86XntSO6pzA5+7LwD0hjNQ93nQy4X/nS09qR2VO4HP3FQzjHs3bAMYpMU73lKeTe/zOFz53X4G+4IeiZ7UD7mlLQxWdnChPJ/f4na86BtAYs0Qr9Kx2wD1taaiinxOFvqfH73zVMYDGmCU0p0IYQGOcEqN3D77zVQbuCQXu4dEbvvPlosOlQPSkdsA9IYzYPQZ856uM2iIQPakdcE8IY3cPvvNVwcjSDu4ZioYqVqbdMn7nqw16UjvgnlAm7p4aooOp54cQrdEGPakdcE8ocE8V0cHU80OYbE4wcE8IU3NPK/SsdsA9ocA9bWmoItwTCtwTCtxTBXIiFEQqlAgJuKeWyeYEg0iFAPfUMtmcYBCpEOCeWiabEwwiFQLcU8tkc4JBpELo6J75/Ruz2dYjtLRdfObIztZstnavrjg0VFEnugLRk9qBnAgFkQqhm3vmx8Uy/JDSonsukqmI0mNLqTm6UEZtEYie1A7kRCiIVAgd3fP2M+Igcol5bI9C2zZ359tiqyINVUROhIJIhdKzRIL7ntNl99jnlpYfHtdQReREKIhUKD1LJHAPjdnIJDJyO3LGbIp8ZrY2IwDkRCiIVCgREt3dI0/4ze57TAd0UcZstMfpjwwND8Vv11I9qR0tc0LPasfImoFIhdIooenr0dk9dIuTPS3uwoY+JRvuCWM1JKYQKU1fj67umZtxm2LnCTByC2M1JKYbqa7uKZgnc4+dNSg/w7ShisiJUBCpUHqW6OiezDw7/Nh5Grmd2DtNoze5F5qf0nGcS0MVkROhIFKh9CzRzT3kEmH9MvU2ZkHcw7PYTGngRs3RhTLIiVAQqVB6lkjlnr1Lt8xmaydl8o2nCs4fm82OnjNHuTRUETkRCiIVSs8SXe97SuxslIdrDg1VRE6EgkiF0rNEcvdsl2cKXBqqiJwIBZEKpWeJ5O5ZQEMVkROhIFKh9CwB99Qy2ZxgEKkQ4J5aJpsTDCIVAtxTy2RzgkGkQoB7aplsTjCIVAhwTy2TzQkGkQoB7qllsjnBIFIhwD21TDYnGEQqBLinlsnmBINIhQD31DLZnGBWLVJPf8HB36Z/Dx78Q79RtjHPfBGty54YCbinliXIiQAQKeY51iPP/+3smMw+z3oxrT/X7IqQgHtqGX9OhIBIEWSS52gPwzz3j/wWXXr+1/567o/4/xgJuKeW0edEEEsQqcKo6nfLJqYwyOrcjEr3PPNF1PXY9QiJYPfMn3hceOLLuiGOhiquWE6EsAQSNrXdJb1dyHK9m0Y+qqLSnpPbpzDI6hwpxz3POSieIZ71Ytlo9kVIhLpn99+/YePVr3rVq659/Y5uiaOhiiNLuyE0ukpUp7Z51dYs7CiRpbazlCF3DUQnDW9U9Xznlp6w3UTni6EaEhprHruxb/d86QOvfuXh2eHDh1/5bXBPM1Yjy2dnWkd41ouzC9hRoi613RfxbhJ5antJLthM73o13IKf2697mGe+yI7cdKP5EyER6J7H3nj4+h/+qY/813MfOf8F3RRHQxXzli6mazBrU9t5De+mkeWzvEDrtA7jLHaUCErtrpFy0s6XeOaL0vRvhYKLfU82yErYDKfiA43cLr/uVR/9/Jd0pQsNVcxbupiOwaxNbfc1vJNGns/utA4hipaEOeFmh6Av4j1KZDffXTWcgp3wFAZZCZvhXA1V63vW4Mo/+5ZP6WI3GqqYt3Qx3YLZlNp5lNPkRGFahxfc19aEOeFmh9B735OHLU2kmKe/oND15IOshM1w+h7TBG1IhESAe7585cndJ//7X/mBX3hyd3f3ySvDzLlxJ2ATjttHq9piIVEw/dQm8iinyYnC4MBNOSZhTuRLBvsi3p9EvpomUszznSsh2ERPdsHp/6e/gFVkUCj/6eWPkAhwzxM//Nbv+d7vPnzo+rd+7/d8z1v/ySXdHEdDFfOWUoO4rXkovbnMZMH0UptJnRNani326S/4PfxKoBZK1IzikpC9iPcm4XQTaSJFuPeEBvtq001CJmok6vyqbKJvRJ1X6QiJAPdc/huHZocY/v/wt/xf3RxHQxXzC6avOFkHa3DvJxPlhF42Ny3y5TQ54UmYocgzX5QiJ4i8tvmSkL3y9Cbh3KGkiRSbJyvSkqzvKeFN7kVJBLhn9yfeeeepU3feSf+dOvUv7n5MN8fRUEWnpebKFEc5heYmygm9bG5a5MtpcqI0cpNsiB8sMH4ziktM/iLem4QzyEoTKfpjzcNLziCL6NwMHym+QIREyH3P5+lm50vzzytD3Pfo61px9rKHvmeAkZs2xd5a6StCz+5xXsTTS5gkdwcGnTSyUZXc3BJUrijlgyyiczN8nlt4ZWYiJALcs3flvg8/3nGyIKOhik5LzUvOs17suscZKSTLCS+1mTxZumqYkoxd8m7U9KC9TYjl98JKN4n8hsG9dWCldG9bVVAaVaWXKBMhEeKey0euefWbf/ynH99N8IZPQxXdlsrr0Nf+TieIxbnMzsGsTm0iz8euGm4+iz9l6VkvltdWk97dJOpS23kR7yPt+k/t8qiqh2aUiJAIcc9jb/7mQ4dm33ztP7jvs49/XrfF0lDFckvl3RilOJfZOZjVqZ3vIDpp5PlMJeq0jila9qhG+pxIcS/M1EsMkNrlUVUPkSoRIRHini8//jP3fd/G+qHZoVffcPIThSHc/P6N2WzrEV7c2ZrN1u6VrURxLaehiqWWukNrby6zWzBrU9vZ0cMFG2A8kuRemGloxbKkNtOzRIh7iC/tPv5zH/z+164fWnud+ynR+XH7AJK9i+YBPvqg0uKaQ0MVSy11bkf8ucz0wVyN8UiSe2GmTdoNoTFOiUD3MLuP/tx9r7nm2p/XVWb+9jPioHv4/83duX3yYnHNpaGKfkuNY2REZYdVGcmDifFIkTYSK9KMCIlA93zhycsf/5HvvH790OFvL31D4TS7xz6p1Dwurrjm0lBFt6XPtwMqGVEVboOF5MHEeKRIG4npRirovudXfvpff/fGNYcOH1q/4Y7/MtetGfLs0uJTshM+M7s8omKQE6EgUqFESIS457Gbr107dOja67/vPz/yy1dKs9byhF/yC4/SaFludYprLg0Pxa9sacWIihng8f1DaKyGxBQipenrEeKe//ft16zNTnz0s49VvWNKtzjcz/TlnooRFYOcCAWRCqVRQtPXI6jv+a5rr5kdvva7fuSjnyu93zPXZ873NnKrBuORUBCpUCIkgu57nvjUB45vrF/zyrVrv+2dHy3e96h5snkCdo2/5tJQReREKIhUKD1LhLiH+NLu4585d+q164deWXi/JzMP9zObu/NT9N9p+pevyU6HhioiJ0JBpELpWSLQPcyVz33mvtdcs+G+30MuEegu57RZOksL5JlszaehisiJUBCpUHqWCHPPl6888ZkP3/mG69cPrRXe73Hcs3f+2Gx29Bx3RzxVYNd8GqqInAgFkQqlZ4mg+56f/8Dx17x67dDh2foN/7z8fk+RnY3ycM2hoYrIiVAQqVB6lghxz2PHXnl4jT9j/VP/Z/H3fLbLMwUuDVVEToSCSIXSs0SIey4fXb/2zT/+vx57ckG3E0JDFZEToSBSofQsEeKeJ/7Vv3n0VxI4h2moInIiFEQqlJ4lgkZuf+t1v6iLnWmoInIiFEQqlJ4lgkZur39Nt59+d2ioInIiFEQqlJ4lgtzzhus/+QXl818Y4jd1FoKcCAWRCiVCIsg9R675gbveKdx55797XLfG0VBF5EQoiFQoPUsEueevy0+JCmuvHeK3RBeCnAgFkQolQiLMPYfXLa8ufs6tNQ1VRE6EgkiF0rNEkHu+8zUfffhnhf/9s7+I+55mlj8nGEQqhMBZA8y5BbP8OcEgUiEEuef117sfrO5EQxWRE6EgUqH0LBHinl8++f2f1cXONFQROREKIhVKzxIh7vnyld1uNzsODVVEToSCSIXSs0SIe1LSUEXkRCiIVCg9S8A9tUw2JxhEKgS4p5bJ5gSDSIUA99Qy2ZxgEKkQ4J5aJpsTDCIVAtxTy2RzgkGkQoB7aplsTjCIVAijck8b9KR2ICdCQaRCmJp7WqFntQPuCQXuaUtDFQ8c+I5gooPZCj2rHXpuIHpSO+CeUOCeKqKDqeeHEK3RBj2pHXpuIHpSO+CeEOCeWgbQiJZog57UDj03FD2rHXBPWxqqCPeEMjqDxmpo3gYwTonO7rmwNTvBf7fN78HbpybsbM1ma/fqikNDFeGeUFYmUm3Qk9qh5waiJ4XT0T2XyCRV7rm4IWulBy9Sc3ShDNwTCtwTip4biJ4UTkf3nD764ePWPY5V5sf56Vfb8mSSIg1VhHtCQaRC6Vmi88iNjFJ2j33yYvnxVw1VlJbqciNxLWWQE6EgUiEkdA9x5Ixsi33qLzVBlxuJaykTLDGQQ1dDYrqRSusee6fT9MR5XSgjLdXlRuJaygRLDKHRUSKQASRWpBkREsncw1zY0Of8NrlHH4Bfpl3a6UntCJYYQmP8EqEMoLHfEhpQj6TuoQ7IzBM0jdy0OmXGlHZwT4u0G0JjvyU0oB79uMfOGpSfwtjQPbbLCV1uR7DEEBqrIdFVI5BxSqRyz87WwzJyOyFPnKdeZ3N3fkrHcS4NVVylnNDlRlZDYtKR6uiei2auYP0y9TZmQdxD/wmlgRs1RxfKICdCQaRC6VkilXv2Lt0ym62dpL7GvPFz/thsdvScOciloYrIiVAQqVB6lug8cvPZ2SgP1xwaqui29OMHmT/1ucrVAYI56ZxgEKkQkrtnuzxT4NJQRbelH/8T/1OXhOJqmmB6Bt3b+8w30vpdupJGo5HVkJh0pJK7ZwENVXRbOoR7ihJ77z/4QV1ikmhMwaAr0ow4CbhH+cw32qwWkmgMYNBmBpBYkWbEScA9yvudLoJIojGAQZv7tzQSzQygMVqJsbqHUyLPveJqmmAWU3u++ZondVFIojGAQX2NYv+WSIKjjzvECkbqHuGOwkAnX00TzKIj55tv3KT1zEJJNAYwaHP/1ovEst4hNmrESYzZPVde/mZdErLVNMEUMkdeeTmnyJWX2wRPojGAQZv7t14klvUOsVEjTmLM7vFerLPVNMEUMkfON2Xh/TbC6TT6NaiXE17I+pBY3jvEJo04iYn3PVm26UIP7unZoI39WyKJQtp5Bk2jMYBBmzXiJMbpnvkmvV7PN7l9H6eRqbPKpAmmkBvUBPOO9BoDGLS2f0sjsZJ3iJ5GnMRI+x65YNK8j3Ni5KtMkmB6BqWOnHwkS0ISDWEAg9b2bwklVuAOsUkjTmLMIzfB68SZhMHMDWpmYDRD0mgMZlAS0Szw+reEEj0PQJme7xCFtL302N1z5eVZQmckDKZQYdA0Gv0bVKnr3xJK1Bk0ocYABq3ViJMYu3veb19/HBIGk6kyaGqN3gza3L8lbEWdQRNqDGDQWo04idGP3CpIGEymyqCJNXo0aGP/lkRiNe8Qk/TScE81aTUGMKhNhwJpJFbjDrGPXhruqWYAjcQSuEOswG1GD7003FPNABqJJXCHWEH1xUjWS8M91QygsXwSy32HmJGulx6bewJJGcxKBtBYDYnEGkPcIabrpSfonlBSXrAqVkNiRZoRJwH31DKAxjhzggmWgHt0eQgaqjhU2oUygMY4c4IJloB7dHkIGqo4VNqFMoDGyCV0uZkBNEYrAffUMoDGakh00tDlRkYrAffUMoDGakhMN1Kjck8b9KR2ICdCQaRCmJp7WqFntQPuCQXu2buwpU+/2tmazdbulUWiuJbTUMUDB74STHQwW6FntQPuCWXy7rlEJjHuuWge4KMPKi2uOTRUcRD36PkhRGu0QU9qB9wTyrjdc/roh82z4+bH+Wlx9smLxTWXhirCPaHouYHoSe2Ae0LoPHKzT17UJ5Wax8UV11waqrgy7tHzA4iWaIOe1A49NxQ9qx1wj3VP8SnZTc/M1oUycE8oozPoEBp6Ujv03ED0pHDSuYdHaeQXudUprrk0VBHuCWVlItUGPakdem4gelI4w7tHH4Bfpl1O6EntaJkTelY7RtYMRCqURglNX4/hR25anTLIiVAQqVCSSWj6eqSeNTBPLS2uuTR0j+1aqie1o2VO6FntGFkzEKlQIiRSuYf6mc3d+Sn67zT9y9fMQTkNVUROhIJIhdKzREf3XJQ3Rfku57RZOksL5JlszaehisiJUBCpUHqWSOaevfPHZrOj5/b2tmWqwK75NFQROREKIhVKzxKdR24+Oxvl4ZpDQxWRE6EgUqH0LJHcPdvlmQKXhioiJ0JBpELpWSK5exbQUEXkRCiIVCg9S8A9tUw2JxhEKgS4p5bJ5gSDSIUA99Qy2ZxgEKkQ4J5aJpsTDCIVAtxTy2RzgkGkQoB7aplsTjCIVAhwTy2TzQkGkQoB7qllsjnBIFIhwD21TDYnGEQqBLinlsnmBINIhQD31DLZnGAQqRDgnlommxMMIhUC3FPLZHOCQaRCgHtqmWxOMIhUCHBPLZPNCQaRCgHuqWWyOcEgUiHAPbVMNicYRCoEuKeWyeYEg0iFAPfUMtmcYBCpEOCeWiabEwwiFQLcU8tkc4JBpEKAe2qZbE4wiFQIcE8tk80JBpEKYYzu+eKbDv4nf4l56uqDB3UdOREKIhVKhMQI3fOxzCP5EvPpl/3Lr3zlfWZD12BmtnQcybDiQZJhJpsTTBuJ6UZqfO4hk3zM5HO+JNz+l/4/pz3/3zWYmS1dRxIi9zG1T0eNOoOSZubQrjlRoyGvAQe/4Zd4uatECANojFMilXu2zcMU7CNHdrZms7V7dcWloYp5S3PPOO556mrJuPf98f9B/3cLZm5L15H56t+RlW4adQZ1F7vmRO2LgMTI0FGizqC02fqzs0bt60y2o7dmuBoREv245+KGrJWeWsrN0YUyWUur3fPpl8mi2dI1mFpMwZHE7ZwPT12dwD21BpVEt3RrRq1GQvfUGfR2WnvqarVPN43a15lsB9FTM1yNCIl07nGsMj/Oj47blsf6eDRU0baUm2Rbly/ZRfOnYzBtMQVHEp9+2Tf80hfflCQnbKm+Qd9nX7CZRM3wNdK5p9agghXspFErke8gemqGqxEh0Yt77GNLY58dlwctX7KL5k+3YBKmmEKZDN+TmJ6nu4Yp1TNoMf8SNcN/EUg5ctNSfYMKSdxD1EpkLeqxGZlGhETSkduRM2al/pHZ1BxdKOO3tLhUTJFEwdTic5X3HfzzLzuo+Z0mJzyJL77pb/MdQyKJag1aIBJltpbqG5Sx0yuJIlUhkS/314xsOUIi8X2P6YAuypiN3FO+8Wl4rLff0uISNdx52ej8APLqYN7OhX9Mc7urhilVy7YST13NEk9dnUaiWsNwu1nrSUJmDdQ8/USKyZf7i1S23Cih6euRyj3MhQ19SHYv7jFjHh35JApmwZH+apqc8AyqE3qJJKo1DDr5kUhCyy5ImFcCIk2kKiTy5f6akS03Smj6eqR0D3VAZp4g+chNxgjyX5Z2elI7fImCI8vu0bPa4eWEZ1DVStsMT8OQvc7oSe0oS+iFkD9KktlJolYiX+6vGdlyhEQv7rGzBhWPMG2oorZU3kyUO4N8ybSQh/OaIImCSX+sI3npi2/ipU+/LGVOeAbVOTeZGk/WDF9DyPoePakd5bSrN2iiSFVI6FUi+mtGphEhkcg9O1sPy8jtxN7e6dnmYzfyjPUpHccVaKhi3tIShWleplswc1tS7NSRJoi383YJcKqcoD+uQY03ZYlIlBOexhffRBvtxHsiiSaDJopUhYQ2j+ivGZlGhEQq95i3R7nrIffsnpa1ioEbNUcXyuQt9XnqahtES+dgligZtJtGvUFlT/wFY7QZtRoy58abic6R0uwqGlSuiOmqia4alRLODqKfZjg7oiRSjdwu3TKbrZ3kvkbe+Tl/bDY7es7sKtBQxbylPu/TTMjpHEyfskHTayQ2aCVD9dKuQbtp1Eo4O3prhqsRIZH0vofZ2agYr+U0VLEhJ0p0C2YFZYMm1xjCoEvYS1exLK8zyd2zXTFV4NBQxYaWlkgfzDKpNQYw6Ir00kvzOpPcPQtoqGJ9S8skD2YFA2gso8QALwJL8zoD99QygMZqSEw3UnBPLZPNCQaRCgHuqWWyOcEgUiHAPbVMNicYRCoEuKeWyeYEg0iFAPfUMtmcYBCpEOCeWiabEwwiFQLcU8tkc4JBpEKAe2qZbE4wiFQIcE8tk80JBpEKAe6pZbI5wSBSIcA9tUw2JxhEKgS4p5bJ5gSDSIUA99Qy2ZxgEKkQ4J5aJpsTDCIVAtxTy2RzgkGkQoB7aplsTjCIVAhwTy2TzQkGkQoB7qllsjnBIFIhwD21TDYnGEQqBLinlsnmBINIhQD31DLZnGAQqRDgnlommxMMIhUC3FPLZHOCQaRCgHtqmWxOMIhUCHBPLZPNCQaRCiGZe3a2ZrO1e3XFW3NoqCJyIhREKpSeJVK556J5gI8+qLS45tJQReREKIhUKD1LJHLP/Dg/Lc4+ebG4VqChisiJUBCpUHqWSOQe+6RS87i44lqBhioiJ0JBpELpWSKRe4pPye76zOzFICdCQaRCiZBI5h4epZFf5FanuFbgAABLiKavx9DugX3AMqLZ6zH0yA2A1SHxrIF5aGlxDYAVJZF7qJ/Z3J2fov/2Ts82H8vXAFhdErmHPCNQl0Pu2c3XAFhdUrln7/yx2ezoOVrY5rmCbA2A1SWZeyw7GxivgYmQ3D3bmCoAUyG5ewCYDHAPALHAPQDEAvcAEAvcA0AscA8AscA9AMQC9wAQC9wDQCxwDwCxjMs98/s3ZrOtR3jR/iJcxaZONEpsp/lseIXGo3fTpqPm2089NSOXSNOM6sjfPTNfPEnSimaN3prhFNytGaNyz/y4tIq/1m1/Ea5ikx4cR7NEoutVq8GfAey5GSyRpBkVErT1Iv3lzE7SigUavTUjL7hjM8blnrefkdbew/+bX4R7tLyJ4hBPowSFtWM6CBUan73lDH9vsM9m5BJpmlEhcXnvyo1rJ2klUSuaNfprRlZw12aM775HEqD4i3AVmzpRJ5HIPUKFBv3tuxkikbAZvsTp2Qn+9qOn2o06jf6akRXsqEYxPvdQt3rW+12Rik2dqJPg/2ezI2fkoI6UNeg1jtZ6bYaRSNgMT2JnY/2yZHbCVtRq9NeMrOCuzRide6gpcnW4M6VlfpGo2NSJWglzvfh1qjO+Bv0zt/T9NSOTSNcMT+LdxynN1D2pWlGv0Vsz7skK7tqMsbmHRqL8cuA2q2JTJ+olhAsbcum6UdKgfwTldn/NyCSEFM3wJeRmPrF76jWEPpohdZaCuzZjZO6hoYf0ok6XWrGpEw0Shs73wpUaBF2w9cs9NoMQCV5I0YySRMbZVK1o0jAH9NAMUzIX3LUZI3OPNjS7naPGVWzqRIOEIYF7aurMdyU9NsNstgV3b0ZJ4pgmNt+cpGlFk4bs76MZNlLrl7s2Y1zusQ3ll4NN84twFZtkNZYmiZ2th+Xl+4SsxVPW+OTWOSr+RrpgvTUjl0jUjJrIy6gqUSsaNXprxiezgrs2Y1TuocYI9Gpz2iydrdikB8fRKEEvRWZBD46kQkNL5vF1X83IJdI0oy7y5p4kSSuaNXprhlNwx2aM1T32F+EqNnWiWeLSLbPZ2smOr6eVdeaSZ/ya11szHIkkzaiLvN7Rp2jFAo3emuEU3K0ZI7vvAWCJgHsAiAXuASAWuAeAWOAeAGKBewCIBe4BIBa4B4BY4B4AYoF7AIgF7gEgFrgHgFjgHgBigXsAiAXuASAWuAeAWOAeAGKBewCIBe4BIBa4B4BY4B4AYoF7AIgF7gEgFrgHgFjgHgBigXsAiAXuASAWuAeAWOAeAGJZCffoz/qHsd358TyrSasg9sdSXZ6RueeNBzLWZcO2PD6i8hkRFGe93AsufH4g03h5Svrz+zdms61HZLmaYumL8ATs8zHkARm94YiaZlXFIIl7SkoUweM1D+6tDlzj5RkbI3OPBl6QDcY9Vc8nmufRr73w8lRX50Cm8fKotCAbjH7DGV7pi9CyBVpN5R7z+No6VM/AG6piUBPE5pJ9VMNgNvGzpqpKrgmcVK2d6P4xOvd8RcmylyJ/iR+QJ6vVNLvHY4F7vkMx+nTp76H+56TsTMGBA1+l2OxqrlAgi9zzIUvv7rnNYtu3PfuxNs8FhXviqXaP/r+zNZut3Wse/XWUn9VLcZ7fPZvdcV9h9/z42ifuoq27dASx9pAceIGfrEbbzGl1VLjH9nq2+O3ZmeOzdx+XUjjjpDx+BBk/jMweVEu9e6Tce7J65q2w7XW27F1gnfdKa/gsbSgXU0Wle5zisiBSV0jNFR9lQZaSTaNNTWtfq4iye67cuPYJbhepkBpxwrbUlCaReyzX5a0q6tRGT1kY3oFZlr6HAn1Rgj+7x4x2NG3NyIoPsrtloM1kV4EP1CGSnMEXrQbfPXSaJGmubgo9cZpfHUnJJIF5/OXZ/KBamtxDnMjqmbfCtjffonq8ZM7ShkpxFdS4h0/KC2EJktJ8taJaspHJG11H2T0XqRAxQK5nCpNKaEtOL3YPcWJxeAdm/O4RTPTpVef8xvpDG3QNL7xN3EMBPrFLHYTkltl9mZbWztGoWhzFIwDJlQ8+vLd3hlflotXhu2fvPKtTr5IXTzU6o52SPKqcypNazO8+mx8k51bR6B4qN6tn3oodbS9veYi2SFqR3n3sF3OWNrSOOveoQB7EPF+taBZClpHdjc9nL7tnm5JdTqESH6GijVm5zlwJjZznHhXNa2NOCQjvwCyHezYpXnR5hbWzG7MjZtBygsLMl9Jcbt39EAWZXp3kAuTu2bt0Fx9Aq7JWR8k9dB6d5hZvzicR7nLM5bYJlR/Ea5U0uUf+2HrmraBSpb1mC62dNa2W5NKzTEPrqHOPCuRBdN1jRN0Qmj/S6DpK7qGBG485xUK5e7LCNHIFn9BOI+pvDQjvwCzDyI2iVojdRV4yQyYTZr3cujtPC+fS05VgaFUuRB1l9+ztPXoqf0o5Fa/n8yiGX1e5PCOTxD1ZPd1WmPa67mE9SS492dagmoXu4ZM5iE6+qqgTQoJ8pjcxNZTco4MtKpH0GCrfabDW2/eJ2exvDQjvwCzFfc9pDpg7YvjUXZrGbt9jd1e6Rw6UVbkQdVS5h6/iPXnxej5t+DC/rvK63elWsYZF7snq6bRC2+u6h3V4yZ6sx9UQ0ffQQSKqJasM7f8xaXQdJfeYsQNxlnqhjdmaHbLpH41YqHuapPeDpXAPhVGHyHvz+992/m2PSGBN9Gcn+T8dvPNufpHL3cPx5gNp9REa5NM2uRB1+O65yG+U0r0PXXtbvJ5PKjdLltG67Jzfd29+EB9RyWL3aD2d5Nb20ha575GxHOm5rTENrWOBe/Ig0ja9A7KiWrLKUCrLPWgtvnukCPlDHbQpotBgidj8vvdmumanEc1rY7bKwc3hHZjRuSdHNoh76H+Kpk40bcqNPF10iai+ttFBdrfrHoo3nckH0kVgFrsnh9fzya2seHs+byAdKc/svCc/SI6oQssWdJMWaP5k9cxbYQY/skWgw7TVdICebBrKS1WonoE38FlOmCqCaEWdEDJcPW50HaphoHWZpSPI6Z+VMekRuu93G6yRywMnW7U53taA8A7MyNzzQg088TzZYNxDF42uGb81sHZy1354RiLKbyLc8ckNPkh3u2mxd36DXsvlQBrHr33wxkXu8fXn91Oh5vbZFm/PpzpJvsr6GVrh93vsQbWUGlhMpryeeStse2nLu6m1UjrpzY44oyDTUFmqwBE1qnyWE6Y8iPLODy/ln1DKQ0jQSfUmJXwlex6Z8d9SgUw22jR/TOQyXd1qmuNvXRzegRmZe0A9Jt33GfNqFsM2DQ/3Lm2NoA3pgHuWhjG4xwwCotDhYWPXtWzAPUvDGNxj72MimN9NQ7e1O5o+rr50wD0AxAL3ABAL3ANALHAPALHAPQDEAvcAEAvcA0AscA8AscA9AMQC9wAQC9wDQCxwDwCxwD0AxAL3ABAL3ANALHAPALHAPQDEAvcAEAvcA0AscA8AsYh7AABRPO3X6gIAoBWf+HW/CujMyetY93xjAAAAAElFTkSuQmCC">
          <a:extLst>
            <a:ext uri="{FF2B5EF4-FFF2-40B4-BE49-F238E27FC236}">
              <a16:creationId xmlns:a16="http://schemas.microsoft.com/office/drawing/2014/main" id="{E0082A3C-39A3-4BB2-A061-1D906139F573}"/>
            </a:ext>
          </a:extLst>
        </xdr:cNvPr>
        <xdr:cNvSpPr>
          <a:spLocks noChangeAspect="1" noChangeArrowheads="1"/>
        </xdr:cNvSpPr>
      </xdr:nvSpPr>
      <xdr:spPr bwMode="auto">
        <a:xfrm>
          <a:off x="73247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196</xdr:row>
      <xdr:rowOff>111125</xdr:rowOff>
    </xdr:to>
    <xdr:sp macro="" textlink="">
      <xdr:nvSpPr>
        <xdr:cNvPr id="2055" name="AutoShape 7" descr="data:image/png;base64,iVBORw0KGgoAAAANSUhEUgAAAz0AAAH2CAMAAABtBhIZAAAAAXNSR0IArs4c6QAAAARnQU1BAACxjwv8YQUAAAL9UExURdnZ2dra2tra2tnZ2QAAAACw8AEBAQGu7QICAgKr6QKs6gUFBQWn4QgICAih2Q0NDQ2Yyg8PDw+WxxYWFhaJsxiErCAgICB4mCMjIyNyjiZthysrKytidiwsLCxgdCxhdDAwMDMzMzNWYjg4ODhNVDs7OztHSzw8PD09PT1FRz4+Pj5CREBAQEFDQEM+PkNGQERDPkREREU9PUVJQEg7O0hFPUhISElQQUs5OUxIO0xMTE84OFBcQ1M1NVZPOFZWVlhrRFkzM1lZWVlsRFpaWltbW1xcXF1TNV1dXV5eXl9fX2BgYGFhYWJiYmNjY2RkZGSAR2UsLGVZM2VlZWYsLGZmZmcrK2dnZ2hoaGlpaWmISGpqamtra2xsbG1tbW9vb3AwoHBwcHFxcXJycnKYSXNzc3QmJnR0dHV1dXZ2dnaeSnd3d3hlLHh4eHkjI3lmLHl5eXp6entnK3t7e319fX5+fn9/f3+uTIAgIICAgICxTIGBgYKCgoODg4SEhIWFhYaGhoeHh4e9ToqKiouLi4vETo2NjY4YGI6Ojo7KT4+Pj4/LT5CQkJEXF5GRkZHOUJKSkpLQUJQWFpV5I5WVlZaWlpiYmJqampubm5ycnJ2dnZ6enp+AIJ+fn6IPD6KioqOjo6QNDaSkpKWlpaampqenp6mpqaqqqqurq62tra6urq8ICLCwsLGxsbOzs7S0tLUFBbWOGLW1tba2tre3t7gDA7i4uLoCAru7u7wCAry8vL2UFr29vb4BAb+/v8AAAMLCwsTExMXFxcfHx8jIyMnJycrKysvLy83Nzc/Pz9DQ0NKiD9LS0tTU1NXV1dakDdbW1tfX19jY2NnZ2dvb29zc3N3d3d7e3t/f3+Dg4OHh4eLi4uPj4+Tk5OXl5eavCObm5ufn5+jo6Onp6erq6uvr6+zs7O3t7e7u7u+1Be/v7/Dw8PHx8fLy8vPz8/T09PX19fb29ve6Avf39/j4+Pm8Avn5+fr6+vv7+/y+Afz8/P39/f7+/v/AAP///39SIw8AAAAEdFJOU4efx9+nhZkZAAAACXBIWXMAABcRAAAXEQHKJvM/AAA4FklEQVR4Xu2dDbhlV3nXUacFUVFQUNSKFsSvsWqlIo2Gcpy5kl7IVUkkbU0p1FFHJdyRRqzcFmPHSQVtTROnTjD01hpMpZiCNSZIhnGEUQZGHUlrI6FQb5mmOGlSczPAAe7T933Xu/Zee+2Ps/baa++7z9n/3/PM3P25/mu9+/2ftfY6H/tpT/sEACCGXwPzABALuWcPANAeuAeAWOAeAGKBewCIBe4BIBa4B4BY4B4AYoF7AIgF7gEgFrgHgFjgHgBigXsAiAXuASAWuAeAWOAeAGKBewCIBe4BIBa4B4BY4B4AYoF7AIgF7gEgFrgHgFjgHgBiWRX37GzM1v7b3t6lrdnaQ7ppYBZJz+/fmM2OXta1MIKao01fXfbxoi5gVdxzcTabnd3bO01/TuimgVkkvU37pY4tCGqONn112ceLuoCRuefKcU6x2Wxt65xuCWT07qEeglmY5jYCFIOHotwzzwoYacq1Bu4J5MqN5roTm7u6LQhNIR7F7FMnv0CaU+DM3qMLG6UuI6i0oOZ47okO4di4jxogA919vKgLGK97ZvfotiBGP3wh96yH3PQU3BNEvXuWu++hoW5QxPaREbqHXDOn1512r5wr5Z52WV/hnpUYssE9bVH3yOBdQvfo/TdTcqzd8Yjsnp8/Rmv2nuhTt9DKkfeKyTSFuJPnqbcbqdO/dBdt0xOLByuF0mTF3m65B5fKKlTpoY3ZCZ5NO2GliUt3cf9RuHMzUwb6ilDYnxdgKLinrjmFKjS6Z0EkXHXZzqxfphcvMzvI1+HdvMAUQlRoREnFCS3tM9Wjeq7TXj52l49dO7lrJiK35BzZ/ujddt1GTMevFZGtaNrQjNg9nGmcSwa+APaGWMY087vNilnTFMpNtH7GnGrGP8WDDYXSrmzlK8WD/bKKVSLBzVO0vLlrkzg7252edtzj7c8LMEdy8Vny1zSnVAX5qxTd459aDptV5xszw9pDvCxFspIdQVeGyDTCV3FDy0VIWaSl6+s/YXYf/RlTpJzD2z+iZdDxjntsAxeI7gMjHrlxwDhwBu6JsgvMu2x4zS6NsP7hK2aRTCoebHBLs5dbrkPxYL+sYpXsWu6e/OzMEflG2uLtzwswR7JchXsyqqvAwkrJPRkVkcjVnQPXL2eVoBjZzKwJkVTcV3FDy/ukeqTFp7rHWvwyqGpWgU6xDVwgug+MdtZg7Qyv79xwx8N04ShuFEW+ftzbnz+mF4VW9s6bi6MR1j8S2KOP7F2gv9YBzsFCoTQ+b/MRGkjcIAMF9+BSWW6V5MTZid35L7jSazS0+CS3xGoRlFB8dml/XoCB92e5UNecUhUcoTyEXEzpVPrrhc2oU2E0ruJhFvc1vEZHc4ysrflQN0RuIzyV0oWS6lEBmXuoIHEYXWWWzLZTGbzu1qEQhQbR/WC07ikMZs0V4ItyQq8lB99cVwoypYlG2Am07NXXTu9goVBadqUI72C/LMVUyeSUHK3S2VF8QGYD2S4K/v68AANvNtDWmuYoThXojyUPIZ/in0p/jFoeNlnnaHAhtJ8r7QjbgZsXokIjPJVCaLWWUiafZI/lg6yku120uQ6ZoFZmgeh+MF73aOgu3EJBYih+FM9sAoGXLRRDjbB/1fWKeQcbnNLkcstGwjvYL6tYJRU0u2mJSzIK+ZJAl5gbVNqfF2BgOUO+M7QKQrnvaYhEdi7XhheomnwaF0J/nbzkA2yISo2oUrEXiveJhO7LjqWDpBCtQ7adtXkH7Xfds1B0HxjprMElChBfLA6UQgHW+9ajFCpnh4RSL4F/JUxg/YMNTmmaLIJ/sH+RilVSQbOblnivlmSzw+C4p7A/L8DAcoZ8Z2gVBLctCyORn0u10WGTHC6py0fbJvghKjTCr6ATWtknErovO9bGR+uQbefSOVRSBd5gDlgoug+M1D2yQBGiOFn4CsgEpywX0uBkdgn8K2EC6x+s5KXVuocO9i9SsUoqaHbTUukaW9q4x1bF7gytghDunjxseqBgElF2ZCcTrdzjhFb2iYTuy4618dE6ZNu5dN5B++GeVmTu4VitX+ZVfo8guwL6rsTmrg2xRS+BfyVMYP2Dc7Q0PzXcg72yvCqpoNlNS/nZXjltRm5Z8uvO0CoIbltKp/qNy8/l0wQ52pTiDNwKxZYa4akIGtrSvmy9zj2sxDsq3LNQdGDG3ffYVQ5UliAmD7PYGvQS+FdCA+sd7CKl8fXIDvAO9sryqqSCZjcv0dnmUmbnGdQ9pf15AQbeHOCeyioIvLfWPTVhMxl5Mx279bBsl/oyWUl+iAqN8FUMpsm8j0vhAnhfdiwV4rsnW+cTsqrqAWGigzJS9zzKb+GdUA/JnCTFb35cJmppF0WVQ3qUL/Wn7rqBQqcR1j9+YL2DhUJpnCs8HXv+ZvP2gnOwV1axSlbQ7LYb6AZCDnCvqXWPvz8vwMByAe6prILQ7B4+uBw2OcutrTmxUHApRE4jPJVCaLk+a+fMnWzh2Ar3cKHyl2Vpv/lcrR6wQHQ/GKF7LBwRjqBi7k4MlB38UqbwgU6E9Uq4gfUOFgql5StmiKDwwX5ZhSpZQbObl5yzzWmKdY+/Py/AwHIL3FNbBcEJISXngkhk59rtR25+r3nnyWyQKhtqQiSleyqF0Lq1ZcnsWNpeco+SbZdT9IAFovvBeN0jAdGQrtEf55rJBzXsB0fMkRph50oUAls8WCiWZq8d7y4e7JdVqJIVNLtlKT87n58grHv8/XkBBi5+kXvqqiA0u6c6bISWSchhpq/Ja0LYI3i/1whPxbtQWqF3H5dTs2Mr3MNjR4Jv6ux5dIqtZLPofjA292jc17bOcWD5c4G0tvUIRZrid+ku89lDs0vf9DAvlhRK/iSh/uGJV/mswkO0bgLrHmwoliafT1zTYb97cKmsQpV4o/kEo0oTF/h+2b7dYaFkNN9W8fbnBRg4RbLPZdY1p1CFXFhwXqIpORdEIlN3X9glp7lYk7QZXohot22Er1IMrX6SkyTYFtmx/P0dPkDrwHr38KH86VHBnCevANrARtF9YGTuAfsEmVsy8FFykekj2U/OwK13xD26vCzAPYChbmyd3fMp6vryvscduPUN3AOWFbnLUUwOk5+KA7eegXvAsuLc95jJDr5nH3LgBveAJcZMJhyxkx2DJzPbVSYBlgi4B4BY4B4AYoF7AIgF7gEgFrgHgFjgHgBigXsAiAXuASAWuAeAWOAeAGKBewCIBe4BIBa4B4BY4B4AYoF7AIgF7gEgFrgHgFjgHgBigXsAiAXuASAWuAeAWOAeAGLp7p679ccnd7Zms7V7zTZ/DYBVpLN7+Afu2T0X+dfAsp8AK64BsJJ0dc+VG9dOsnvmx+n/+Xb+C+LOGgCrSVf3nOanW5J7djb0YRjy08fFNQBWk47u2dlYvyzuuSgPsLhyo/FLcQ2A1aSbe2iEdpa6H3EPj9LIL3KrU1wDYDXp5h4xTjv3/F0Alg/NXo9u7uFnvAhnQ0duBw5odQBYIjR9PVK5x84TyOP7slkDs+Zy4IAuALD0dJw1YGTkRv3M5u78FP3Hq/maHpMB94DVIZV76H/TCdl7IV3zgXvA6pDMPXvnj81mR8/xaI6nCuyaD9wDVocE7imys1EerjnAPWB1SO6e7fJMgQvcA1aH5O5ZANwDVge4B4BY4B4AYoF7AIgF7gEgFrgHgFjgHgBigXsAiAXuASAWuAeAWOAeAGKBewCIBe4BIBa4B4BY4B4AYoF7AIgF7gEgFrgHrDBvPNCCdT0pHLgHrDDqC+Wrv+bgb9VFWTl48A/+Bl0T9KRw4B6wwhw4cFvOW8guf1OXb7vtL3zrbbe946V/7B/p6m23wT0AuLju+Yd/8lvf4rhH+Kt/9O/rEtwDQJFC38O9D9wDQCAL3POWgzR8s8A9ALg0uOcHv4lugxzzwD1gmeh5OplZ0Pe846UYuYHlRH1hWDSbHJc3i+573vHSP6dLcA9YKtzUXjCbHJPazCL3/OA3/Zl/rIv74J5H796YzY7yL1frg7DsM0d2tmaztXt1xQHuARYntRfNJvflnn3te+bHxTL8w+9F91wkUxHlx5bCPcBSTO2e3FPg2WZ0+OyDzzvwjBfS4ld/zR/+zbLDoCeF0809V245I0+6IpeYx/Yo5KrN3fm2PPu3CNwDLM3uKcwmp3DPb/r9NDo8ePD3PcOY6Nm64qAnhZPgvmdno+Qe+9zS8sPj4B5gqXdPaTY53j0fquDWr/9JXXLZF/dQF5ON3I6cMduanpmtC2DyNPc9hdnkpO554Kof0qUCw7uHDFKcNTAd0EUZs9FOpz8y4Inzy8Ef0MFMGL9Xz2rHgvse946e3KMntaPSPbe+4j/qUoFGCU1fjxTuMfYhLmzoU7LhnmVHbaEsfDNGz2rHAve4s8lJ3VPD8O5hyDN2dsDOE2DktuwUMnuQN2MW9T16UjvauUdPCieBe8gz9lml1j121sBuz4F7lgM3s/t7M8ZlwWzyCrpnZ+sc/XcjeWZn62HphU7IA+ip19ncnZ/ScZwL3LMcFPuFcseQ2D2LZ5NX0T3mTVG6vdEl6nrYPfweEFMauME9S8IC9yR6M0bz1qV6NjkmtZlxj9wu3UIe4W5HltZOUl9j3vg5f2w2O0odkw/csxw0uKfXN2NqZpNX0z1ldjbKwzUHuCcBI/tof0r31MwmT8U92+WZAhe4JwHqC2XRdLKe1I5F9z1LMCHGLJt7FgD3JKCQ2ul/KYZZ5B7vzRg9qx1wT1vgngS4qd3DL8Uw2m9ZdDo55xkv/F26JOhZ7YB72gL3JGBRx9Cbe5bqzRgG7gE+C9zT9ZdiGDft3vMSfvvlIN3Pv+vgD32I/jMrOXDPQMA9CWhwT4pfimGq026p3oxh4J4lozCdvGg+bJS/FMNUpt1yvRnDwD1LhvpC4E+c5O75Hc/ju+2Bp5NTpt1yvRnDwD1LhpPa+/VbFx1/KYZpk3Zwz1BERmGJKKZ2T+4psGA6WU9qB9wTAtyTmmb3JP+tC2LBdLKe1A64JwS4JzX17unl45WLppMHSLulcY/E6u/piglVtgb3LKT48cohJsT8vqe/37pI90sxzCq651Z+ecnQF5vcPhES03KP2sIwyIRY6b6nt49XpvulGGYF3fOelzgdzYc+dBP30A9e95d1Fe5ZiJvZw0yIlSR6+3hl7S/F6EntWEH3eH3zTbz6wFVwTzDFzC6n9gDuWcGP9i+Hex68rvjy8p6XfP1PPnid46gICbjHoYcJsSl8vHJZ3PMXr6Oxem4hnkPIex64ZyEN7kk4IZaxpL91wQzunuJ8mL+aQOKBq77uR/n/zD63HvyzL3GnJyMk4B6H/ibEVvrjlSk0ivNh/moKCZ0guJU9xNzEC+9y7BMhAfe49HVTstofr0yg4c2HeatEdwm977HuUYnMTMvunlZvxvTy4eTeJsRW++OVCTS8vrncVSdohilUptqIVXOP+sKw8M0YPakd+9X31LEaEt01vPkwf3qMSNCM97yEhm7y9ij/9+B17BvZpkRIjMo9mrbEoN/Wx/eNywztnsJ8WGl6LE0zZCaCh9DyMYMP3URrHScmRuoeom/3TGRCLImENwP24HXFm/rOGt58WGl6LHGkqudwIiSWxz2pv62fs9ITYikkvBkw/nhlWvd482H+9BiRMlKjefpVaxqq2OCeXr+tj+8bV+BKlCfEzNAno7OGNx/mrTIpI5XuM03L0/f09m19fN+4Alei3Dendo83H+avEuOM1BLd9/T1bf06xnnBmGElKmbAkrunOB/mrFrGGamO7nn07g374MWdrdls7V7ZShTXchqquMg9+La+xZWQ73gdtK/SD1wlq87nt7pLVMyAJXePmZfgQk3R2aplnBejm3vmx+UxPfzD7xfJRgQ/fYQorjk0VBF9TyiuxLucmwOLe6PSXaJiBiy9ezKWagqnm3uu3HJGnnR1D/toc3dun7xYXHNpqKJOE1vwbf1aXIkq96S9YaiYAevPPcs1hZPgvmdnwzw7Tp5Uah4XV1xzaaii2kJY/GaMntSONsEc6QVjXIkK97hf+UogUTED1p97lmsKp7t7qIuhkVvxKdlRz8yubml1Tz5AMEd6wRhXosI9bp6nkCjPgPU4cqthnBId3UMGMbMGF2WURqtyq1Ncc2l4KH5lS2vf2dKT2tEmmAk0inf09CLurjEJmiEaBQcV58gSSHgTYkTJPXpWO9pcjf2W0PT1SOEetk9f7ql9Z0tPakebYCbQ8PqFmyj1HrjKtU+qZtzkZnMxtVNIFCfEZK0wBzfA1dhvCU1fjwT3PRc2yCu9jdyqGaAjT6BRdUefelgluHc6he/qJ47UUk2IMT1LJHDPHt/42HkCdk0+a2DWXBqqOLJgJtAYzD3uYM37XE3KSOEzTR7d3LOzdY7+u5H6HupnNnfnp+i/0/QvX9MDMxqqOLJgJtCocE/hDfRkzXD7HvnGcU7KSOEzTR4d3bPBtz3yruhps3SWFsgz2ZpPQxWHDybdxudZx7ffhcTrruHd0cusQeKO4cHrqDswgzVjzMJ0NZEmUs0MoDFOiY4jt0u3kEe2HubF88dms6PUFW3LVIFd82mo4vDBvPXrXpGlmnwKv/C6neiCFe7oKbkTS4hDpU8wswX+72kkakUjA2iMUyLFfU+BnY3ycM2hoYqDB/OBq/5p9kOs5iU78fuMgtcZ9CFhwDtjZXqWSO6e7fJMgUtDFQcP5k2v+A+Ze8y9duGtkkQXzPuIch8SQrrvfDFtLsYQGuOUSO6eBTRUcehgvudP/2j+I+A6U9XDV0qG6nvSfeeLaXMxhtAYp8R03cPOyd1jf2IlpXu8O3rpHIyOZZw5wbSRWJFmREhM1z3voqzO3UOLfPf915L2Pd4dfb5qGWdOMG0kRt2MNuhJ4YzXPc50ch/f+XrgKhqqOe4xyENdlJQ5sdJv0o+6GW3Qk8IZr3vc6WQh7Xe+pCNg3Hvtvm5KVvtN+lE346uCiZAYrXvc6WRDD3f0ft/Ty8doiNV+k37UzVBrBBAhMVr3uNPJQh/9gnFP9umZW3v5GE0DqyEx6maoNQKIkBirewrTyUIf/YJ1D42r+HdZXYVVSe0BJOI12qAntWOa7uG0LrrH/86XntSO6pzA5+7LwD0hjNQ93nQy4X/nS09qR2VO4HP3FQzjHs3bAMYpMU73lKeTe/zOFz53X4G+4IeiZ7UD7mlLQxWdnChPJ/f4na86BtAYs0Qr9Kx2wD1taaiinxOFvqfH73zVMYDGmCU0p0IYQGOcEqN3D77zVQbuCQXu4dEbvvPlosOlQPSkdsA9IYzYPQZ856uM2iIQPakdcE8IY3cPvvNVwcjSDu4ZioYqVqbdMn7nqw16UjvgnlAm7p4aooOp54cQrdEGPakdcE8ocE8V0cHU80OYbE4wcE8IU3NPK/SsdsA9ocA9bWmoItwTCtwTCtxTBXIiFEQqlAgJuKeWyeYEg0iFAPfUMtmcYBCpEOCeWiabEwwiFQLcU8tkc4JBpELo6J75/Ruz2dYjtLRdfObIztZstnavrjg0VFEnugLRk9qBnAgFkQqhm3vmx8Uy/JDSonsukqmI0mNLqTm6UEZtEYie1A7kRCiIVAgd3fP2M+Igcol5bI9C2zZ359tiqyINVUROhIJIhdKzRIL7ntNl99jnlpYfHtdQReREKIhUKD1LJHAPjdnIJDJyO3LGbIp8ZrY2IwDkRCiIVCgREt3dI0/4ze57TAd0UcZstMfpjwwND8Vv11I9qR0tc0LPasfImoFIhdIooenr0dk9dIuTPS3uwoY+JRvuCWM1JKYQKU1fj67umZtxm2LnCTByC2M1JKYbqa7uKZgnc4+dNSg/w7ShisiJUBCpUHqW6OiezDw7/Nh5Grmd2DtNoze5F5qf0nGcS0MVkROhIFKh9CzRzT3kEmH9MvU2ZkHcw7PYTGngRs3RhTLIiVAQqVB6lkjlnr1Lt8xmaydl8o2nCs4fm82OnjNHuTRUETkRCiIVSs8SXe97SuxslIdrDg1VRE6EgkiF0rNEcvdsl2cKXBqqiJwIBZEKpWeJ5O5ZQEMVkROhIFKh9CwB99Qy2ZxgEKkQ4J5aJpsTDCIVAtxTy2RzgkGkQoB7aplsTjCIVAhwTy2TzQkGkQoB7qllsjnBIFIhwD21TDYnGEQqBLinlsnmBINIhQD31DLZnGBWLVJPf8HB36Z/Dx78Q79RtjHPfBGty54YCbinliXIiQAQKeY51iPP/+3smMw+z3oxrT/X7IqQgHtqGX9OhIBIEWSS52gPwzz3j/wWXXr+1/567o/4/xgJuKeW0edEEEsQqcKo6nfLJqYwyOrcjEr3PPNF1PXY9QiJYPfMn3hceOLLuiGOhiquWE6EsAQSNrXdJb1dyHK9m0Y+qqLSnpPbpzDI6hwpxz3POSieIZ71Ytlo9kVIhLpn99+/YePVr3rVq659/Y5uiaOhiiNLuyE0ukpUp7Z51dYs7CiRpbazlCF3DUQnDW9U9Xznlp6w3UTni6EaEhprHruxb/d86QOvfuXh2eHDh1/5bXBPM1Yjy2dnWkd41ouzC9hRoi613RfxbhJ5antJLthM73o13IKf2697mGe+yI7cdKP5EyER6J7H3nj4+h/+qY/813MfOf8F3RRHQxXzli6mazBrU9t5De+mkeWzvEDrtA7jLHaUCErtrpFy0s6XeOaL0vRvhYKLfU82yErYDKfiA43cLr/uVR/9/Jd0pQsNVcxbupiOwaxNbfc1vJNGns/utA4hipaEOeFmh6Av4j1KZDffXTWcgp3wFAZZCZvhXA1V63vW4Mo/+5ZP6WI3GqqYt3Qx3YLZlNp5lNPkRGFahxfc19aEOeFmh9B735OHLU2kmKe/oND15IOshM1w+h7TBG1IhESAe7585cndJ//7X/mBX3hyd3f3ySvDzLlxJ2ATjttHq9piIVEw/dQm8iinyYnC4MBNOSZhTuRLBvsi3p9EvpomUszznSsh2ERPdsHp/6e/gFVkUCj/6eWPkAhwzxM//Nbv+d7vPnzo+rd+7/d8z1v/ySXdHEdDFfOWUoO4rXkovbnMZMH0UptJnRNani326S/4PfxKoBZK1IzikpC9iPcm4XQTaSJFuPeEBvtq001CJmok6vyqbKJvRJ1X6QiJAPdc/huHZocY/v/wt/xf3RxHQxXzC6avOFkHa3DvJxPlhF42Ny3y5TQ54UmYocgzX5QiJ4i8tvmSkL3y9Cbh3KGkiRSbJyvSkqzvKeFN7kVJBLhn9yfeeeepU3feSf+dOvUv7n5MN8fRUEWnpebKFEc5heYmygm9bG5a5MtpcqI0cpNsiB8sMH4ziktM/iLem4QzyEoTKfpjzcNLziCL6NwMHym+QIREyH3P5+lm50vzzytD3Pfo61px9rKHvmeAkZs2xd5a6StCz+5xXsTTS5gkdwcGnTSyUZXc3BJUrijlgyyiczN8nlt4ZWYiJALcs3flvg8/3nGyIKOhik5LzUvOs17suscZKSTLCS+1mTxZumqYkoxd8m7U9KC9TYjl98JKN4n8hsG9dWCldG9bVVAaVaWXKBMhEeKey0euefWbf/ynH99N8IZPQxXdlsrr0Nf+TieIxbnMzsGsTm0iz8euGm4+iz9l6VkvltdWk97dJOpS23kR7yPt+k/t8qiqh2aUiJAIcc9jb/7mQ4dm33ztP7jvs49/XrfF0lDFckvl3RilOJfZOZjVqZ3vIDpp5PlMJeq0jila9qhG+pxIcS/M1EsMkNrlUVUPkSoRIRHini8//jP3fd/G+qHZoVffcPIThSHc/P6N2WzrEV7c2ZrN1u6VrURxLaehiqWWukNrby6zWzBrU9vZ0cMFG2A8kuRemGloxbKkNtOzRIh7iC/tPv5zH/z+164fWnud+ynR+XH7AJK9i+YBPvqg0uKaQ0MVSy11bkf8ucz0wVyN8UiSe2GmTdoNoTFOiUD3MLuP/tx9r7nm2p/XVWb+9jPioHv4/83duX3yYnHNpaGKfkuNY2REZYdVGcmDifFIkTYSK9KMCIlA93zhycsf/5HvvH790OFvL31D4TS7xz6p1Dwurrjm0lBFt6XPtwMqGVEVboOF5MHEeKRIG4npRirovudXfvpff/fGNYcOH1q/4Y7/MtetGfLs0uJTshM+M7s8omKQE6EgUqFESIS457Gbr107dOja67/vPz/yy1dKs9byhF/yC4/SaFludYprLg0Pxa9sacWIihng8f1DaKyGxBQipenrEeKe//ft16zNTnz0s49VvWNKtzjcz/TlnooRFYOcCAWRCqVRQtPXI6jv+a5rr5kdvva7fuSjnyu93zPXZ873NnKrBuORUBCpUCIkgu57nvjUB45vrF/zyrVrv+2dHy3e96h5snkCdo2/5tJQReREKIhUKD1LhLiH+NLu4585d+q164deWXi/JzMP9zObu/NT9N9p+pevyU6HhioiJ0JBpELpWSLQPcyVz33mvtdcs+G+30MuEegu57RZOksL5JlszaehisiJUBCpUHqWCHPPl6888ZkP3/mG69cPrRXe73Hcs3f+2Gx29Bx3RzxVYNd8GqqInAgFkQqlZ4mg+56f/8Dx17x67dDh2foN/7z8fk+RnY3ycM2hoYrIiVAQqVB6lghxz2PHXnl4jT9j/VP/Z/H3fLbLMwUuDVVEToSCSIXSs0SIey4fXb/2zT/+vx57ckG3E0JDFZEToSBSofQsEeKeJ/7Vv3n0VxI4h2moInIiFEQqlJ4lgkZuf+t1v6iLnWmoInIiFEQqlJ4lgkZur39Nt59+d2ioInIiFEQqlJ4lgtzzhus/+QXl818Y4jd1FoKcCAWRCiVCIsg9R675gbveKdx55797XLfG0VBF5EQoiFQoPUsEueevy0+JCmuvHeK3RBeCnAgFkQolQiLMPYfXLa8ufs6tNQ1VRE6EgkiF0rNEkHu+8zUfffhnhf/9s7+I+55mlj8nGEQqhMBZA8y5BbP8OcEgUiEEuef117sfrO5EQxWRE6EgUqH0LBHinl8++f2f1cXONFQROREKIhVKzxIh7vnyld1uNzsODVVEToSCSIXSs0SIe1LSUEXkRCiIVCg9S8A9tUw2JxhEKgS4p5bJ5gSDSIUA99Qy2ZxgEKkQ4J5aJpsTDCIVAtxTy2RzgkGkQoB7aplsTjCIVAijck8b9KR2ICdCQaRCmJp7WqFntQPuCQXuaUtDFQ8c+I5gooPZCj2rHXpuIHpSO+CeUOCeKqKDqeeHEK3RBj2pHXpuIHpSO+CeEOCeWgbQiJZog57UDj03FD2rHXBPWxqqCPeEMjqDxmpo3gYwTonO7rmwNTvBf7fN78HbpybsbM1ma/fqikNDFeGeUFYmUm3Qk9qh5waiJ4XT0T2XyCRV7rm4IWulBy9Sc3ShDNwTCtwTip4biJ4UTkf3nD764ePWPY5V5sf56Vfb8mSSIg1VhHtCQaRC6Vmi88iNjFJ2j33yYvnxVw1VlJbqciNxLWWQE6EgUiEkdA9x5Ixsi33qLzVBlxuJaykTLDGQQ1dDYrqRSusee6fT9MR5XSgjLdXlRuJaygRLDKHRUSKQASRWpBkREsncw1zY0Of8NrlHH4Bfpl3a6UntCJYYQmP8EqEMoLHfEhpQj6TuoQ7IzBM0jdy0OmXGlHZwT4u0G0JjvyU0oB79uMfOGpSfwtjQPbbLCV1uR7DEEBqrIdFVI5BxSqRyz87WwzJyOyFPnKdeZ3N3fkrHcS4NVVylnNDlRlZDYtKR6uiei2auYP0y9TZmQdxD/wmlgRs1RxfKICdCQaRC6VkilXv2Lt0ym62dpL7GvPFz/thsdvScOciloYrIiVAQqVB6lug8cvPZ2SgP1xwaqui29OMHmT/1ucrVAYI56ZxgEKkQkrtnuzxT4NJQRbelH/8T/1OXhOJqmmB6Bt3b+8w30vpdupJGo5HVkJh0pJK7ZwENVXRbOoR7ihJ77z/4QV1ikmhMwaAr0ow4CbhH+cw32qwWkmgMYNBmBpBYkWbEScA9yvudLoJIojGAQZv7tzQSzQygMVqJsbqHUyLPveJqmmAWU3u++ZondVFIojGAQX2NYv+WSIKjjzvECkbqHuGOwkAnX00TzKIj55tv3KT1zEJJNAYwaHP/1ovEst4hNmrESYzZPVde/mZdErLVNMEUMkdeeTmnyJWX2wRPojGAQZv7t14klvUOsVEjTmLM7vFerLPVNMEUMkfON2Xh/TbC6TT6NaiXE17I+pBY3jvEJo04iYn3PVm26UIP7unZoI39WyKJQtp5Bk2jMYBBmzXiJMbpnvkmvV7PN7l9H6eRqbPKpAmmkBvUBPOO9BoDGLS2f0sjsZJ3iJ5GnMRI+x65YNK8j3Ni5KtMkmB6BqWOnHwkS0ISDWEAg9b2bwklVuAOsUkjTmLMIzfB68SZhMHMDWpmYDRD0mgMZlAS0Szw+reEEj0PQJme7xCFtL302N1z5eVZQmckDKZQYdA0Gv0bVKnr3xJK1Bk0ocYABq3ViJMYu3veb19/HBIGk6kyaGqN3gza3L8lbEWdQRNqDGDQWo04idGP3CpIGEymyqCJNXo0aGP/lkRiNe8Qk/TScE81aTUGMKhNhwJpJFbjDrGPXhruqWYAjcQSuEOswG1GD7003FPNABqJJXCHWEH1xUjWS8M91QygsXwSy32HmJGulx6bewJJGcxKBtBYDYnEGkPcIabrpSfonlBSXrAqVkNiRZoRJwH31DKAxjhzggmWgHt0eQgaqjhU2oUygMY4c4IJloB7dHkIGqo4VNqFMoDGyCV0uZkBNEYrAffUMoDGakh00tDlRkYrAffUMoDGakhMN1Kjck8b9KR2ICdCQaRCmJp7WqFntQPuCQXu2buwpU+/2tmazdbulUWiuJbTUMUDB74STHQwW6FntQPuCWXy7rlEJjHuuWge4KMPKi2uOTRUcRD36PkhRGu0QU9qB9wTyrjdc/roh82z4+bH+Wlx9smLxTWXhirCPaHouYHoSe2Ae0LoPHKzT17UJ5Wax8UV11waqrgy7tHzA4iWaIOe1A49NxQ9qx1wj3VP8SnZTc/M1oUycE8oozPoEBp6Ujv03ED0pHDSuYdHaeQXudUprrk0VBHuCWVlItUGPakdem4gelI4w7tHH4Bfpl1O6EntaJkTelY7RtYMRCqURglNX4/hR25anTLIiVAQqVCSSWj6eqSeNTBPLS2uuTR0j+1aqie1o2VO6FntGFkzEKlQIiRSuYf6mc3d+Sn67zT9y9fMQTkNVUROhIJIhdKzREf3XJQ3Rfku57RZOksL5JlszaehisiJUBCpUHqWSOaevfPHZrOj5/b2tmWqwK75NFQROREKIhVKzxKdR24+Oxvl4ZpDQxWRE6EgUqH0LJHcPdvlmQKXhioiJ0JBpELpWSK5exbQUEXkRCiIVCg9S8A9tUw2JxhEKgS4p5bJ5gSDSIUA99Qy2ZxgEKkQ4J5aJpsTDCIVAtxTy2RzgkGkQoB7aplsTjCIVAhwTy2TzQkGkQoB7qllsjnBIFIhwD21TDYnGEQqBLinlsnmBINIhQD31DLZnGAQqRDgnlommxMMIhUC3FPLZHOCQaRCgHtqmWxOMIhUCHBPLZPNCQaRCgHuqWWyOcEgUiHAPbVMNicYRCoEuKeWyeYEg0iFAPfUMtmcYBCpEOCeWiabEwwiFQLcU8tkc4JBpEKAe2qZbE4wiFQIcE8tk80JBpEKYYzu+eKbDv4nf4l56uqDB3UdOREKIhVKhMQI3fOxzCP5EvPpl/3Lr3zlfWZD12BmtnQcybDiQZJhJpsTTBuJ6UZqfO4hk3zM5HO+JNz+l/4/pz3/3zWYmS1dRxIi9zG1T0eNOoOSZubQrjlRoyGvAQe/4Zd4uatECANojFMilXu2zcMU7CNHdrZms7V7dcWloYp5S3PPOO556mrJuPf98f9B/3cLZm5L15H56t+RlW4adQZ1F7vmRO2LgMTI0FGizqC02fqzs0bt60y2o7dmuBoREv245+KGrJWeWsrN0YUyWUur3fPpl8mi2dI1mFpMwZHE7ZwPT12dwD21BpVEt3RrRq1GQvfUGfR2WnvqarVPN43a15lsB9FTM1yNCIl07nGsMj/Oj47blsf6eDRU0baUm2Rbly/ZRfOnYzBtMQVHEp9+2Tf80hfflCQnbKm+Qd9nX7CZRM3wNdK5p9agghXspFErke8gemqGqxEh0Yt77GNLY58dlwctX7KL5k+3YBKmmEKZDN+TmJ6nu4Yp1TNoMf8SNcN/EUg5ctNSfYMKSdxD1EpkLeqxGZlGhETSkduRM2al/pHZ1BxdKOO3tLhUTJFEwdTic5X3HfzzLzuo+Z0mJzyJL77pb/MdQyKJag1aIBJltpbqG5Sx0yuJIlUhkS/314xsOUIi8X2P6YAuypiN3FO+8Wl4rLff0uISNdx52ej8APLqYN7OhX9Mc7urhilVy7YST13NEk9dnUaiWsNwu1nrSUJmDdQ8/USKyZf7i1S23Cih6euRyj3MhQ19SHYv7jFjHh35JApmwZH+apqc8AyqE3qJJKo1DDr5kUhCyy5ImFcCIk2kKiTy5f6akS03Smj6eqR0D3VAZp4g+chNxgjyX5Z2elI7fImCI8vu0bPa4eWEZ1DVStsMT8OQvc7oSe0oS+iFkD9KktlJolYiX+6vGdlyhEQv7rGzBhWPMG2oorZU3kyUO4N8ybSQh/OaIImCSX+sI3npi2/ipU+/LGVOeAbVOTeZGk/WDF9DyPoePakd5bSrN2iiSFVI6FUi+mtGphEhkcg9O1sPy8jtxN7e6dnmYzfyjPUpHccVaKhi3tIShWleplswc1tS7NSRJoi383YJcKqcoD+uQY03ZYlIlBOexhffRBvtxHsiiSaDJopUhYQ2j+ivGZlGhEQq95i3R7nrIffsnpa1ioEbNUcXyuQt9XnqahtES+dgligZtJtGvUFlT/wFY7QZtRoy58abic6R0uwqGlSuiOmqia4alRLODqKfZjg7oiRSjdwu3TKbrZ3kvkbe+Tl/bDY7es7sKtBQxbylPu/TTMjpHEyfskHTayQ2aCVD9dKuQbtp1Eo4O3prhqsRIZH0vofZ2agYr+U0VLEhJ0p0C2YFZYMm1xjCoEvYS1exLK8zyd2zXTFV4NBQxYaWlkgfzDKpNQYw6Ir00kvzOpPcPQtoqGJ9S8skD2YFA2gso8QALwJL8zoD99QygMZqSEw3UnBPLZPNCQaRCgHuqWWyOcEgUiHAPbVMNicYRCoEuKeWyeYEg0iFAPfUMtmcYBCpEOCeWiabEwwiFQLcU8tkc4JBpEKAe2qZbE4wiFQIcE8tk80JBpEKAe6pZbI5wSBSIcA9tUw2JxhEKgS4p5bJ5gSDSIUA99Qy2ZxgEKkQ4J5aJpsTDCIVAtxTy2RzgkGkQoB7aplsTjCIVAhwTy2TzQkGkQoB7qllsjnBIFIhwD21TDYnGEQqBLinlsnmBINIhQD31DLZnGAQqRDgnlommxMMIhUC3FPLZHOCQaRCgHtqmWxOMIhUCHBPLZPNCQaRCiGZe3a2ZrO1e3XFW3NoqCJyIhREKpSeJVK556J5gI8+qLS45tJQReREKIhUKD1LJHLP/Dg/Lc4+ebG4VqChisiJUBCpUHqWSOQe+6RS87i44lqBhioiJ0JBpELpWSKRe4pPye76zOzFICdCQaRCiZBI5h4epZFf5FanuFbgAABLiKavx9DugX3AMqLZ6zH0yA2A1SHxrIF5aGlxDYAVJZF7qJ/Z3J2fov/2Ts82H8vXAFhdErmHPCNQl0Pu2c3XAFhdUrln7/yx2ezoOVrY5rmCbA2A1SWZeyw7GxivgYmQ3D3bmCoAUyG5ewCYDHAPALHAPQDEAvcAEAvcA0AscA8AscA9AMQC9wAQC9wDQCxwDwCxjMs98/s3ZrOtR3jR/iJcxaZONEpsp/lseIXGo3fTpqPm2089NSOXSNOM6sjfPTNfPEnSimaN3prhFNytGaNyz/y4tIq/1m1/Ea5ikx4cR7NEoutVq8GfAey5GSyRpBkVErT1Iv3lzE7SigUavTUjL7hjM8blnrefkdbew/+bX4R7tLyJ4hBPowSFtWM6CBUan73lDH9vsM9m5BJpmlEhcXnvyo1rJ2klUSuaNfprRlZw12aM775HEqD4i3AVmzpRJ5HIPUKFBv3tuxkikbAZvsTp2Qn+9qOn2o06jf6akRXsqEYxPvdQt3rW+12Rik2dqJPg/2ezI2fkoI6UNeg1jtZ6bYaRSNgMT2JnY/2yZHbCVtRq9NeMrOCuzRide6gpcnW4M6VlfpGo2NSJWglzvfh1qjO+Bv0zt/T9NSOTSNcMT+LdxynN1D2pWlGv0Vsz7skK7tqMsbmHRqL8cuA2q2JTJ+olhAsbcum6UdKgfwTldn/NyCSEFM3wJeRmPrF76jWEPpohdZaCuzZjZO6hoYf0ok6XWrGpEw0Shs73wpUaBF2w9cs9NoMQCV5I0YySRMbZVK1o0jAH9NAMUzIX3LUZI3OPNjS7naPGVWzqRIOEIYF7aurMdyU9NsNstgV3b0ZJ4pgmNt+cpGlFk4bs76MZNlLrl7s2Y1zusQ3ll4NN84twFZtkNZYmiZ2th+Xl+4SsxVPW+OTWOSr+RrpgvTUjl0jUjJrIy6gqUSsaNXprxiezgrs2Y1TuocYI9Gpz2iydrdikB8fRKEEvRWZBD46kQkNL5vF1X83IJdI0oy7y5p4kSSuaNXprhlNwx2aM1T32F+EqNnWiWeLSLbPZ2smOr6eVdeaSZ/ya11szHIkkzaiLvN7Rp2jFAo3emuEU3K0ZI7vvAWCJgHsAiAXuASAWuAeAWOAeAGKBewCIBe4BIBa4B4BY4B4AYoF7AIgF7gEgFrgHgFjgHgBigXsAiAXuASAWuAeAWOAeAGKBewCIBe4BIBa4B4BY4B4AYoF7AIgF7gEgFrgHgFjgHgBigXsAiAXuASAWuAeAWOAeAGJZCffoz/qHsd358TyrSasg9sdSXZ6RueeNBzLWZcO2PD6i8hkRFGe93AsufH4g03h5Svrz+zdms61HZLmaYumL8ATs8zHkARm94YiaZlXFIIl7SkoUweM1D+6tDlzj5RkbI3OPBl6QDcY9Vc8nmufRr73w8lRX50Cm8fKotCAbjH7DGV7pi9CyBVpN5R7z+No6VM/AG6piUBPE5pJ9VMNgNvGzpqpKrgmcVK2d6P4xOvd8RcmylyJ/iR+QJ6vVNLvHY4F7vkMx+nTp76H+56TsTMGBA1+l2OxqrlAgi9zzIUvv7rnNYtu3PfuxNs8FhXviqXaP/r+zNZut3Wse/XWUn9VLcZ7fPZvdcV9h9/z42ifuoq27dASx9pAceIGfrEbbzGl1VLjH9nq2+O3ZmeOzdx+XUjjjpDx+BBk/jMweVEu9e6Tce7J65q2w7XW27F1gnfdKa/gsbSgXU0Wle5zisiBSV0jNFR9lQZaSTaNNTWtfq4iye67cuPYJbhepkBpxwrbUlCaReyzX5a0q6tRGT1kY3oFZlr6HAn1Rgj+7x4x2NG3NyIoPsrtloM1kV4EP1CGSnMEXrQbfPXSaJGmubgo9cZpfHUnJJIF5/OXZ/KBamtxDnMjqmbfCtjffonq8ZM7ShkpxFdS4h0/KC2EJktJ8taJaspHJG11H2T0XqRAxQK5nCpNKaEtOL3YPcWJxeAdm/O4RTPTpVef8xvpDG3QNL7xN3EMBPrFLHYTkltl9mZbWztGoWhzFIwDJlQ8+vLd3hlflotXhu2fvPKtTr5IXTzU6o52SPKqcypNazO8+mx8k51bR6B4qN6tn3oodbS9veYi2SFqR3n3sF3OWNrSOOveoQB7EPF+taBZClpHdjc9nL7tnm5JdTqESH6GijVm5zlwJjZznHhXNa2NOCQjvwCyHezYpXnR5hbWzG7MjZtBygsLMl9Jcbt39EAWZXp3kAuTu2bt0Fx9Aq7JWR8k9dB6d5hZvzicR7nLM5bYJlR/Ea5U0uUf+2HrmraBSpb1mC62dNa2W5NKzTEPrqHOPCuRBdN1jRN0Qmj/S6DpK7qGBG485xUK5e7LCNHIFn9BOI+pvDQjvwCzDyI2iVojdRV4yQyYTZr3cujtPC+fS05VgaFUuRB1l9+ztPXoqf0o5Fa/n8yiGX1e5PCOTxD1ZPd1WmPa67mE9SS492dagmoXu4ZM5iE6+qqgTQoJ8pjcxNZTco4MtKpH0GCrfabDW2/eJ2exvDQjvwCzFfc9pDpg7YvjUXZrGbt9jd1e6Rw6UVbkQdVS5h6/iPXnxej5t+DC/rvK63elWsYZF7snq6bRC2+u6h3V4yZ6sx9UQ0ffQQSKqJasM7f8xaXQdJfeYsQNxlnqhjdmaHbLpH41YqHuapPeDpXAPhVGHyHvz+992/m2PSGBN9Gcn+T8dvPNufpHL3cPx5gNp9REa5NM2uRB1+O65yG+U0r0PXXtbvJ5PKjdLltG67Jzfd29+EB9RyWL3aD2d5Nb20ha575GxHOm5rTENrWOBe/Ig0ja9A7KiWrLKUCrLPWgtvnukCPlDHbQpotBgidj8vvdmumanEc1rY7bKwc3hHZjRuSdHNoh76H+Kpk40bcqNPF10iai+ttFBdrfrHoo3nckH0kVgFrsnh9fzya2seHs+byAdKc/svCc/SI6oQssWdJMWaP5k9cxbYQY/skWgw7TVdICebBrKS1WonoE38FlOmCqCaEWdEDJcPW50HaphoHWZpSPI6Z+VMekRuu93G6yRywMnW7U53taA8A7MyNzzQg088TzZYNxDF42uGb81sHZy1354RiLKbyLc8ckNPkh3u2mxd36DXsvlQBrHr33wxkXu8fXn91Oh5vbZFm/PpzpJvsr6GVrh93vsQbWUGlhMpryeeStse2nLu6m1UjrpzY44oyDTUFmqwBE1qnyWE6Y8iPLODy/ln1DKQ0jQSfUmJXwlex6Z8d9SgUw22jR/TOQyXd1qmuNvXRzegRmZe0A9Jt33GfNqFsM2DQ/3Lm2NoA3pgHuWhjG4xwwCotDhYWPXtWzAPUvDGNxj72MimN9NQ7e1O5o+rr50wD0AxAL3ABAL3ANALHAPALHAPQDEAvcAEAvcA0AscA8AscA9AMQC9wAQC9wDQCxwDwCxwD0AxAL3ABAL3ANALHAPALHAPQDEAvcAEAvcA0AscA8AsYh7AABRPO3X6gIAoBWf+HW/CujMyetY93xjAAAAAElFTkSuQmCC">
          <a:extLst>
            <a:ext uri="{FF2B5EF4-FFF2-40B4-BE49-F238E27FC236}">
              <a16:creationId xmlns:a16="http://schemas.microsoft.com/office/drawing/2014/main" id="{0A0CC840-0D59-4860-8E30-30180318EE3F}"/>
            </a:ext>
          </a:extLst>
        </xdr:cNvPr>
        <xdr:cNvSpPr>
          <a:spLocks noChangeAspect="1" noChangeArrowheads="1"/>
        </xdr:cNvSpPr>
      </xdr:nvSpPr>
      <xdr:spPr bwMode="auto">
        <a:xfrm>
          <a:off x="79343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</xdr:colOff>
      <xdr:row>194</xdr:row>
      <xdr:rowOff>4762</xdr:rowOff>
    </xdr:from>
    <xdr:to>
      <xdr:col>13</xdr:col>
      <xdr:colOff>309562</xdr:colOff>
      <xdr:row>208</xdr:row>
      <xdr:rowOff>71437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E87FBDE-3CF7-4DE8-8BCE-3A6D6B8CE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103</xdr:row>
      <xdr:rowOff>0</xdr:rowOff>
    </xdr:from>
    <xdr:to>
      <xdr:col>28</xdr:col>
      <xdr:colOff>304800</xdr:colOff>
      <xdr:row>116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43E165-6FB6-4F18-B84E-2424516AB8C3}"/>
            </a:ext>
            <a:ext uri="{147F2762-F138-4A5C-976F-8EAC2B608ADB}">
              <a16:predDERef xmlns:a16="http://schemas.microsoft.com/office/drawing/2014/main" pred="{7E87FBDE-3CF7-4DE8-8BCE-3A6D6B8CE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431799</xdr:colOff>
      <xdr:row>127</xdr:row>
      <xdr:rowOff>88900</xdr:rowOff>
    </xdr:from>
    <xdr:to>
      <xdr:col>17</xdr:col>
      <xdr:colOff>569382</xdr:colOff>
      <xdr:row>141</xdr:row>
      <xdr:rowOff>62441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7004B1F-2E88-51CC-056C-653C4FB94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444500</xdr:colOff>
      <xdr:row>142</xdr:row>
      <xdr:rowOff>4233</xdr:rowOff>
    </xdr:from>
    <xdr:to>
      <xdr:col>17</xdr:col>
      <xdr:colOff>582083</xdr:colOff>
      <xdr:row>156</xdr:row>
      <xdr:rowOff>80433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3B7EB43-5D7D-5CBD-E770-1ABDCEF47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465666</xdr:colOff>
      <xdr:row>157</xdr:row>
      <xdr:rowOff>14816</xdr:rowOff>
    </xdr:from>
    <xdr:to>
      <xdr:col>17</xdr:col>
      <xdr:colOff>603249</xdr:colOff>
      <xdr:row>171</xdr:row>
      <xdr:rowOff>80433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86F1CC6-C4DB-7341-93C8-50080DC8E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176212</xdr:rowOff>
    </xdr:from>
    <xdr:to>
      <xdr:col>7</xdr:col>
      <xdr:colOff>152400</xdr:colOff>
      <xdr:row>18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DF7636-8E64-4CA5-9BF5-2BAB33863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88</xdr:row>
      <xdr:rowOff>147636</xdr:rowOff>
    </xdr:from>
    <xdr:to>
      <xdr:col>11</xdr:col>
      <xdr:colOff>495299</xdr:colOff>
      <xdr:row>105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581B71-BE9C-4D80-83F3-367FC2EE2F08}"/>
            </a:ext>
            <a:ext uri="{147F2762-F138-4A5C-976F-8EAC2B608ADB}">
              <a16:predDERef xmlns:a16="http://schemas.microsoft.com/office/drawing/2014/main" pred="{B8DF7636-8E64-4CA5-9BF5-2BAB33863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119</xdr:row>
      <xdr:rowOff>38100</xdr:rowOff>
    </xdr:from>
    <xdr:to>
      <xdr:col>9</xdr:col>
      <xdr:colOff>381000</xdr:colOff>
      <xdr:row>136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70F748F-FE42-45F6-A247-55F7EA819974}"/>
            </a:ext>
            <a:ext uri="{147F2762-F138-4A5C-976F-8EAC2B608ADB}">
              <a16:predDERef xmlns:a16="http://schemas.microsoft.com/office/drawing/2014/main" pred="{48581B71-BE9C-4D80-83F3-367FC2EE2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272519</xdr:colOff>
      <xdr:row>170</xdr:row>
      <xdr:rowOff>158219</xdr:rowOff>
    </xdr:from>
    <xdr:to>
      <xdr:col>8</xdr:col>
      <xdr:colOff>124883</xdr:colOff>
      <xdr:row>190</xdr:row>
      <xdr:rowOff>104773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768B90-4CE9-45C5-8EF8-622316356C61}"/>
            </a:ext>
            <a:ext uri="{147F2762-F138-4A5C-976F-8EAC2B608ADB}">
              <a16:predDERef xmlns:a16="http://schemas.microsoft.com/office/drawing/2014/main" pred="{470F748F-FE42-45F6-A247-55F7EA819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1652586</xdr:colOff>
      <xdr:row>223</xdr:row>
      <xdr:rowOff>61911</xdr:rowOff>
    </xdr:from>
    <xdr:to>
      <xdr:col>10</xdr:col>
      <xdr:colOff>281939</xdr:colOff>
      <xdr:row>239</xdr:row>
      <xdr:rowOff>38100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5A7B1A8-6A1B-41EA-A595-7C5F62BE9B45}"/>
            </a:ext>
            <a:ext uri="{147F2762-F138-4A5C-976F-8EAC2B608ADB}">
              <a16:predDERef xmlns:a16="http://schemas.microsoft.com/office/drawing/2014/main" pred="{DE768B90-4CE9-45C5-8EF8-622316356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190500</xdr:colOff>
      <xdr:row>270</xdr:row>
      <xdr:rowOff>47625</xdr:rowOff>
    </xdr:from>
    <xdr:to>
      <xdr:col>7</xdr:col>
      <xdr:colOff>204787</xdr:colOff>
      <xdr:row>285</xdr:row>
      <xdr:rowOff>166687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AC0BF9F-9812-434C-B684-3E624EDF3CF1}"/>
            </a:ext>
            <a:ext uri="{147F2762-F138-4A5C-976F-8EAC2B608ADB}">
              <a16:predDERef xmlns:a16="http://schemas.microsoft.com/office/drawing/2014/main" pred="{15A7B1A8-6A1B-41EA-A595-7C5F62BE9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114300</xdr:colOff>
      <xdr:row>290</xdr:row>
      <xdr:rowOff>80962</xdr:rowOff>
    </xdr:from>
    <xdr:to>
      <xdr:col>14</xdr:col>
      <xdr:colOff>419100</xdr:colOff>
      <xdr:row>304</xdr:row>
      <xdr:rowOff>147637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B403357-25CB-4059-AFD8-A0171B3F6208}"/>
            </a:ext>
            <a:ext uri="{147F2762-F138-4A5C-976F-8EAC2B608ADB}">
              <a16:predDERef xmlns:a16="http://schemas.microsoft.com/office/drawing/2014/main" pred="{1AC0BF9F-9812-434C-B684-3E624EDF3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</xdr:colOff>
      <xdr:row>316</xdr:row>
      <xdr:rowOff>9525</xdr:rowOff>
    </xdr:from>
    <xdr:to>
      <xdr:col>6</xdr:col>
      <xdr:colOff>314325</xdr:colOff>
      <xdr:row>330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1D5741-8B74-4E54-8B3D-2A067CEE3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414337</xdr:colOff>
      <xdr:row>332</xdr:row>
      <xdr:rowOff>85725</xdr:rowOff>
    </xdr:from>
    <xdr:to>
      <xdr:col>7</xdr:col>
      <xdr:colOff>14287</xdr:colOff>
      <xdr:row>346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66D5F4C-5FAF-40A0-88B2-7A528289E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358</xdr:row>
      <xdr:rowOff>0</xdr:rowOff>
    </xdr:from>
    <xdr:to>
      <xdr:col>8</xdr:col>
      <xdr:colOff>180975</xdr:colOff>
      <xdr:row>369</xdr:row>
      <xdr:rowOff>28575</xdr:rowOff>
    </xdr:to>
    <xdr:pic>
      <xdr:nvPicPr>
        <xdr:cNvPr id="15" name="Picture 17" descr="Chart, bar chart, histogram&#10;&#10;Description automatically generated">
          <a:extLst>
            <a:ext uri="{FF2B5EF4-FFF2-40B4-BE49-F238E27FC236}">
              <a16:creationId xmlns:a16="http://schemas.microsoft.com/office/drawing/2014/main" id="{C551E351-49A5-4EFD-8269-613ACE72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8237100"/>
          <a:ext cx="57626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181610</xdr:colOff>
      <xdr:row>388</xdr:row>
      <xdr:rowOff>118110</xdr:rowOff>
    </xdr:to>
    <xdr:pic>
      <xdr:nvPicPr>
        <xdr:cNvPr id="17" name="Picture 16" descr="Chart, line chart&#10;&#10;Description automatically generated">
          <a:extLst>
            <a:ext uri="{FF2B5EF4-FFF2-40B4-BE49-F238E27FC236}">
              <a16:creationId xmlns:a16="http://schemas.microsoft.com/office/drawing/2014/main" id="{428CF7D1-B7A1-4213-8458-C42029505FC9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28925" y="71866125"/>
          <a:ext cx="5763260" cy="25946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394</xdr:row>
      <xdr:rowOff>0</xdr:rowOff>
    </xdr:from>
    <xdr:to>
      <xdr:col>8</xdr:col>
      <xdr:colOff>181610</xdr:colOff>
      <xdr:row>411</xdr:row>
      <xdr:rowOff>20955</xdr:rowOff>
    </xdr:to>
    <xdr:pic>
      <xdr:nvPicPr>
        <xdr:cNvPr id="18" name="Picture 17" descr="Graphical user interface, chart&#10;&#10;Description automatically generated">
          <a:extLst>
            <a:ext uri="{FF2B5EF4-FFF2-40B4-BE49-F238E27FC236}">
              <a16:creationId xmlns:a16="http://schemas.microsoft.com/office/drawing/2014/main" id="{A861AB95-C242-4398-8D38-8095632FD278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28925" y="75304650"/>
          <a:ext cx="5763260" cy="3259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EADATEN\Projekte\02%20Statistik\08Stat\Tab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EADATEN\Projekte\omr02\02%20Statistik\12Stat\Grunddata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ttu.sharepoint.com/sites/RenovationWAVE/Shared%20Documents/General/eso_2022_%20Nov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ttu.sharepoint.com/Inge.Roos/Documents/Minu%20dokumendid/ODYSSEE%20MURE%202021/ODYSSEE%20SUBMISSION/eso_2021_revNRD%20v4%20Sept%20202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ttu.sharepoint.com/sites/RenovationWAVE/Shared%20Documents/General/DATABASE%2007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vedmenu"/>
      <sheetName val="Bruttoenergiforbrug (k)"/>
      <sheetName val="Forbrug i alt (k)"/>
      <sheetName val="Produktionserhverv (k)"/>
      <sheetName val="Handel &amp; service (k)"/>
      <sheetName val="Husholdninger (k)"/>
      <sheetName val="Rumopvarmning (k)"/>
      <sheetName val="Netto rumopvarmning (k)"/>
      <sheetName val="Forbrug af el (k)"/>
      <sheetName val="Emissioner (k)"/>
      <sheetName val="Bruttoenergiforbrug (f)"/>
      <sheetName val="Brændselsforbrug"/>
      <sheetName val="Energisektor"/>
      <sheetName val="Forbrug i alt (f)"/>
      <sheetName val="Transport (f)"/>
      <sheetName val="Produktionserhverv (f)"/>
      <sheetName val="Handel &amp; service (f)"/>
      <sheetName val="Husholdninger (f)"/>
      <sheetName val="Rumopvarmning (f)"/>
      <sheetName val="Netto rumopvarmning (f)"/>
      <sheetName val="Forbrug af el (f)"/>
      <sheetName val="Emissioner (f)"/>
      <sheetName val="Produktion af primær energi"/>
      <sheetName val="Vedvarende energi"/>
      <sheetName val="El produktion"/>
      <sheetName val="Brændselsforbrug ved el prod."/>
      <sheetName val="Fjv produktion"/>
      <sheetName val="Brændselsforbrug ved fjv prod."/>
      <sheetName val="Produktion af bygas"/>
      <sheetName val="Oversigt energibalance"/>
      <sheetName val="Detaljeret opgøre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A6" t="str">
            <v>Olie</v>
          </cell>
          <cell r="G6">
            <v>231813.25463591516</v>
          </cell>
          <cell r="H6">
            <v>0</v>
          </cell>
          <cell r="I6">
            <v>0</v>
          </cell>
          <cell r="J6">
            <v>168912</v>
          </cell>
          <cell r="K6">
            <v>161397</v>
          </cell>
          <cell r="L6">
            <v>165904</v>
          </cell>
          <cell r="M6">
            <v>144445</v>
          </cell>
          <cell r="N6">
            <v>136565</v>
          </cell>
          <cell r="O6">
            <v>98837</v>
          </cell>
          <cell r="P6">
            <v>70771</v>
          </cell>
          <cell r="Q6">
            <v>61199</v>
          </cell>
          <cell r="R6">
            <v>45647</v>
          </cell>
          <cell r="S6">
            <v>39371</v>
          </cell>
          <cell r="T6">
            <v>41113</v>
          </cell>
          <cell r="U6">
            <v>32362</v>
          </cell>
          <cell r="V6">
            <v>24725</v>
          </cell>
          <cell r="W6">
            <v>21042</v>
          </cell>
          <cell r="X6">
            <v>18702</v>
          </cell>
          <cell r="Y6">
            <v>13981</v>
          </cell>
          <cell r="Z6">
            <v>16229</v>
          </cell>
          <cell r="AA6">
            <v>15948</v>
          </cell>
          <cell r="AB6">
            <v>16020</v>
          </cell>
          <cell r="AC6">
            <v>31948.067235027054</v>
          </cell>
          <cell r="AD6">
            <v>38124.929782174964</v>
          </cell>
          <cell r="AE6">
            <v>60073.680966034597</v>
          </cell>
          <cell r="AF6">
            <v>54506.487341487897</v>
          </cell>
          <cell r="AG6">
            <v>50455.472353718709</v>
          </cell>
          <cell r="AH6">
            <v>47715.711125354574</v>
          </cell>
          <cell r="AI6">
            <v>44081.786981576108</v>
          </cell>
          <cell r="AJ6">
            <v>43764.772371767438</v>
          </cell>
          <cell r="AK6">
            <v>40493.980548649095</v>
          </cell>
          <cell r="AL6">
            <v>25145.441130444426</v>
          </cell>
          <cell r="AM6">
            <v>18169.448876104638</v>
          </cell>
          <cell r="AN6">
            <v>16188.66647400392</v>
          </cell>
          <cell r="AO6">
            <v>17894.889149266783</v>
          </cell>
          <cell r="AP6">
            <v>14609.91252727861</v>
          </cell>
          <cell r="AQ6">
            <v>12588.994212351306</v>
          </cell>
        </row>
        <row r="7">
          <cell r="A7" t="str">
            <v>Naturgas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296</v>
          </cell>
          <cell r="S7">
            <v>1647</v>
          </cell>
          <cell r="T7">
            <v>9258</v>
          </cell>
          <cell r="U7">
            <v>18227</v>
          </cell>
          <cell r="V7">
            <v>18897</v>
          </cell>
          <cell r="W7">
            <v>20510</v>
          </cell>
          <cell r="X7">
            <v>18547</v>
          </cell>
          <cell r="Y7">
            <v>18312</v>
          </cell>
          <cell r="Z7">
            <v>22415</v>
          </cell>
          <cell r="AA7">
            <v>23714</v>
          </cell>
          <cell r="AB7">
            <v>28305</v>
          </cell>
          <cell r="AC7">
            <v>38072.390868972929</v>
          </cell>
          <cell r="AD7">
            <v>49295.20611272809</v>
          </cell>
          <cell r="AE7">
            <v>65303.921307579811</v>
          </cell>
          <cell r="AF7">
            <v>71423.569512212314</v>
          </cell>
          <cell r="AG7">
            <v>83854.702325040431</v>
          </cell>
          <cell r="AH7">
            <v>90252.142666396889</v>
          </cell>
          <cell r="AI7">
            <v>91071.130429126541</v>
          </cell>
          <cell r="AJ7">
            <v>94853.607756483543</v>
          </cell>
          <cell r="AK7">
            <v>97697.597060285843</v>
          </cell>
          <cell r="AL7">
            <v>96621.316300619073</v>
          </cell>
          <cell r="AM7">
            <v>96607.076721517078</v>
          </cell>
          <cell r="AN7">
            <v>87955.111770168674</v>
          </cell>
          <cell r="AO7">
            <v>91007.317993151839</v>
          </cell>
          <cell r="AP7">
            <v>72403.264991783479</v>
          </cell>
          <cell r="AQ7">
            <v>73370.421097458195</v>
          </cell>
        </row>
        <row r="8">
          <cell r="A8" t="str">
            <v>Kul</v>
          </cell>
          <cell r="G8">
            <v>47089.636047363281</v>
          </cell>
          <cell r="H8">
            <v>0</v>
          </cell>
          <cell r="I8">
            <v>0</v>
          </cell>
          <cell r="J8">
            <v>65260</v>
          </cell>
          <cell r="K8">
            <v>96688</v>
          </cell>
          <cell r="L8">
            <v>111371</v>
          </cell>
          <cell r="M8">
            <v>123628</v>
          </cell>
          <cell r="N8">
            <v>153888</v>
          </cell>
          <cell r="O8">
            <v>227539</v>
          </cell>
          <cell r="P8">
            <v>180804</v>
          </cell>
          <cell r="Q8">
            <v>225797</v>
          </cell>
          <cell r="R8">
            <v>223167</v>
          </cell>
          <cell r="S8">
            <v>230661</v>
          </cell>
          <cell r="T8">
            <v>285013</v>
          </cell>
          <cell r="U8">
            <v>289398</v>
          </cell>
          <cell r="V8">
            <v>283015</v>
          </cell>
          <cell r="W8">
            <v>263727</v>
          </cell>
          <cell r="X8">
            <v>215174</v>
          </cell>
          <cell r="Y8">
            <v>238071</v>
          </cell>
          <cell r="Z8">
            <v>326758</v>
          </cell>
          <cell r="AA8">
            <v>271203</v>
          </cell>
          <cell r="AB8">
            <v>284287</v>
          </cell>
          <cell r="AC8">
            <v>307612.95634801436</v>
          </cell>
          <cell r="AD8">
            <v>255554.2962535157</v>
          </cell>
          <cell r="AE8">
            <v>358012.38945021515</v>
          </cell>
          <cell r="AF8">
            <v>262349.23549525556</v>
          </cell>
          <cell r="AG8">
            <v>221520.86378612492</v>
          </cell>
          <cell r="AH8">
            <v>185214.25523023956</v>
          </cell>
          <cell r="AI8">
            <v>153663.23488916381</v>
          </cell>
          <cell r="AJ8">
            <v>164477.77389393625</v>
          </cell>
          <cell r="AK8">
            <v>166480.25329270569</v>
          </cell>
          <cell r="AL8">
            <v>230162.10150598851</v>
          </cell>
          <cell r="AM8">
            <v>172590.92706409853</v>
          </cell>
          <cell r="AN8">
            <v>144240.32074018678</v>
          </cell>
          <cell r="AO8">
            <v>221724.08471250001</v>
          </cell>
          <cell r="AP8">
            <v>184163.65752609199</v>
          </cell>
          <cell r="AQ8">
            <v>162401.32800054798</v>
          </cell>
        </row>
      </sheetData>
      <sheetData sheetId="12" refreshError="1"/>
      <sheetData sheetId="13" refreshError="1">
        <row r="6">
          <cell r="A6" t="str">
            <v>-  olie</v>
          </cell>
          <cell r="G6">
            <v>505019.24879833311</v>
          </cell>
          <cell r="H6">
            <v>0</v>
          </cell>
          <cell r="I6">
            <v>0</v>
          </cell>
          <cell r="J6">
            <v>434149.0793101</v>
          </cell>
          <cell r="K6">
            <v>475339.8003766</v>
          </cell>
          <cell r="L6">
            <v>474360.57994480006</v>
          </cell>
          <cell r="M6">
            <v>485667.91264199995</v>
          </cell>
          <cell r="N6">
            <v>493086.50738599995</v>
          </cell>
          <cell r="O6">
            <v>435810.91202800005</v>
          </cell>
          <cell r="P6">
            <v>388054.66080600006</v>
          </cell>
          <cell r="Q6">
            <v>372338.83740800002</v>
          </cell>
          <cell r="R6">
            <v>362501.62547999999</v>
          </cell>
          <cell r="S6">
            <v>363992.59450599999</v>
          </cell>
          <cell r="T6">
            <v>377055.38936599996</v>
          </cell>
          <cell r="U6">
            <v>376437.72079599998</v>
          </cell>
          <cell r="V6">
            <v>362719.10328400001</v>
          </cell>
          <cell r="W6">
            <v>337953.88137999992</v>
          </cell>
          <cell r="X6">
            <v>322669.66946504533</v>
          </cell>
          <cell r="Y6">
            <v>313477.83686609071</v>
          </cell>
          <cell r="Z6">
            <v>320979.53443009063</v>
          </cell>
          <cell r="AA6">
            <v>309170.53866799991</v>
          </cell>
          <cell r="AB6">
            <v>312101.51499999996</v>
          </cell>
          <cell r="AC6">
            <v>308157.92979021592</v>
          </cell>
          <cell r="AD6">
            <v>311645.66533596849</v>
          </cell>
          <cell r="AE6">
            <v>321040.78455427598</v>
          </cell>
          <cell r="AF6">
            <v>314101.96168144682</v>
          </cell>
          <cell r="AG6">
            <v>310804.08459226182</v>
          </cell>
          <cell r="AH6">
            <v>315325.13068914501</v>
          </cell>
          <cell r="AI6">
            <v>306453.47122733959</v>
          </cell>
          <cell r="AJ6">
            <v>306106.69791470672</v>
          </cell>
          <cell r="AK6">
            <v>299013.90256229899</v>
          </cell>
          <cell r="AL6">
            <v>300978.01738799497</v>
          </cell>
          <cell r="AM6">
            <v>308847.3764268118</v>
          </cell>
          <cell r="AN6">
            <v>308786.56771786406</v>
          </cell>
          <cell r="AO6">
            <v>310362.61792028393</v>
          </cell>
          <cell r="AP6">
            <v>313272.8963383697</v>
          </cell>
          <cell r="AQ6">
            <v>304992.04587930092</v>
          </cell>
        </row>
        <row r="7">
          <cell r="A7" t="str">
            <v>-  naturgas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16.734587999999999</v>
          </cell>
          <cell r="R7">
            <v>286.97199999999998</v>
          </cell>
          <cell r="S7">
            <v>1750.6631520000033</v>
          </cell>
          <cell r="T7">
            <v>12962.766125999997</v>
          </cell>
          <cell r="U7">
            <v>22503.271230999984</v>
          </cell>
          <cell r="V7">
            <v>33322.15518300001</v>
          </cell>
          <cell r="W7">
            <v>35969.880963999982</v>
          </cell>
          <cell r="X7">
            <v>42210.795253999997</v>
          </cell>
          <cell r="Y7">
            <v>46971.979722000004</v>
          </cell>
          <cell r="Z7">
            <v>52716.114019000015</v>
          </cell>
          <cell r="AA7">
            <v>54493.062583000021</v>
          </cell>
          <cell r="AB7">
            <v>61777.489871699981</v>
          </cell>
          <cell r="AC7">
            <v>63179.920426027064</v>
          </cell>
          <cell r="AD7">
            <v>69537.733631758398</v>
          </cell>
          <cell r="AE7">
            <v>74783.415779698131</v>
          </cell>
          <cell r="AF7">
            <v>72488.81817366906</v>
          </cell>
          <cell r="AG7">
            <v>72213.219579728757</v>
          </cell>
          <cell r="AH7">
            <v>73178.108693819915</v>
          </cell>
          <cell r="AI7">
            <v>69155.951462157173</v>
          </cell>
          <cell r="AJ7">
            <v>73699.912434812097</v>
          </cell>
          <cell r="AK7">
            <v>68974.122695756421</v>
          </cell>
          <cell r="AL7">
            <v>72353.980901432617</v>
          </cell>
          <cell r="AM7">
            <v>70688.809783532837</v>
          </cell>
          <cell r="AN7">
            <v>70950.474168903049</v>
          </cell>
          <cell r="AO7">
            <v>71086.424765298085</v>
          </cell>
          <cell r="AP7">
            <v>69887.164027392471</v>
          </cell>
          <cell r="AQ7">
            <v>70111.854174992623</v>
          </cell>
        </row>
        <row r="8">
          <cell r="A8" t="str">
            <v>-  kul</v>
          </cell>
          <cell r="G8">
            <v>5915.3830981445317</v>
          </cell>
          <cell r="H8">
            <v>0</v>
          </cell>
          <cell r="I8">
            <v>0</v>
          </cell>
          <cell r="J8">
            <v>16084.700000000003</v>
          </cell>
          <cell r="K8">
            <v>18167.2</v>
          </cell>
          <cell r="L8">
            <v>21193.0236</v>
          </cell>
          <cell r="M8">
            <v>22393.170000000002</v>
          </cell>
          <cell r="N8">
            <v>23792.136900000001</v>
          </cell>
          <cell r="O8">
            <v>21701.828000000001</v>
          </cell>
          <cell r="P8">
            <v>17655.4653</v>
          </cell>
          <cell r="Q8">
            <v>15925.837299999999</v>
          </cell>
          <cell r="R8">
            <v>12682.516799999999</v>
          </cell>
          <cell r="S8">
            <v>19084.0766</v>
          </cell>
          <cell r="T8">
            <v>19375.5913</v>
          </cell>
          <cell r="U8">
            <v>18646.180099999998</v>
          </cell>
          <cell r="V8">
            <v>19218.959200000001</v>
          </cell>
          <cell r="W8">
            <v>18656.043400000002</v>
          </cell>
          <cell r="X8">
            <v>17268.330400000003</v>
          </cell>
          <cell r="Y8">
            <v>16764.496000000003</v>
          </cell>
          <cell r="Z8">
            <v>19158.466499999999</v>
          </cell>
          <cell r="AA8">
            <v>16911.813900000001</v>
          </cell>
          <cell r="AB8">
            <v>17794.598100000003</v>
          </cell>
          <cell r="AC8">
            <v>17102.161275586583</v>
          </cell>
          <cell r="AD8">
            <v>16139.234779555842</v>
          </cell>
          <cell r="AE8">
            <v>15177.683081679952</v>
          </cell>
          <cell r="AF8">
            <v>15235.44700474413</v>
          </cell>
          <cell r="AG8">
            <v>14158.089814956644</v>
          </cell>
          <cell r="AH8">
            <v>12717.505669760063</v>
          </cell>
          <cell r="AI8">
            <v>12257.628610836087</v>
          </cell>
          <cell r="AJ8">
            <v>10973.350006063847</v>
          </cell>
          <cell r="AK8">
            <v>9261.1509692939289</v>
          </cell>
          <cell r="AL8">
            <v>9805.2586121216918</v>
          </cell>
          <cell r="AM8">
            <v>11051.18246599449</v>
          </cell>
          <cell r="AN8">
            <v>10747.306928993825</v>
          </cell>
          <cell r="AO8">
            <v>11252.356499999998</v>
          </cell>
          <cell r="AP8">
            <v>11104.590269908</v>
          </cell>
          <cell r="AQ8">
            <v>9389.1364287520009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omasse"/>
      <sheetName val="Energibalance 2012"/>
      <sheetName val="Tidss2011"/>
      <sheetName val="Revisioner"/>
      <sheetName val="Tidsserier"/>
      <sheetName val="Rådata"/>
      <sheetName val="Naturgas "/>
      <sheetName val="CO2"/>
      <sheetName val="Beregn"/>
      <sheetName val="Fordel"/>
      <sheetName val="Import"/>
      <sheetName val="Eksport"/>
      <sheetName val="DStFordel"/>
      <sheetName val="EP_tælling"/>
      <sheetName val="EPdata_dk"/>
      <sheetName val="EPdata_int"/>
      <sheetName val="1997b"/>
      <sheetName val="1996b"/>
      <sheetName val="Kapacitet"/>
      <sheetName val="EP_tælling gl"/>
      <sheetName val="VE m.m."/>
      <sheetName val="Olieprodukter"/>
    </sheetNames>
    <sheetDataSet>
      <sheetData sheetId="0"/>
      <sheetData sheetId="1"/>
      <sheetData sheetId="2"/>
      <sheetData sheetId="3"/>
      <sheetData sheetId="4"/>
      <sheetData sheetId="5">
        <row r="229">
          <cell r="A229" t="str">
            <v>EULFTIJY_FLY</v>
          </cell>
          <cell r="B229" t="str">
            <v>PJ</v>
          </cell>
          <cell r="G229">
            <v>0.28155599999999997</v>
          </cell>
          <cell r="J229">
            <v>0.17616019999999999</v>
          </cell>
          <cell r="K229">
            <v>0.16461640999999999</v>
          </cell>
          <cell r="L229">
            <v>0.16126902000000001</v>
          </cell>
          <cell r="M229">
            <v>0.14756853</v>
          </cell>
          <cell r="N229">
            <v>0.14654932000000001</v>
          </cell>
          <cell r="O229">
            <v>0.14932897000000001</v>
          </cell>
          <cell r="P229">
            <v>0.15340578999999999</v>
          </cell>
          <cell r="Q229">
            <v>0.13743825000000001</v>
          </cell>
          <cell r="R229">
            <v>0.13626462</v>
          </cell>
          <cell r="S229">
            <v>0.14092825</v>
          </cell>
          <cell r="T229">
            <v>0.15349845000000001</v>
          </cell>
          <cell r="U229">
            <v>0.14811977000000001</v>
          </cell>
          <cell r="V229">
            <v>0.12218403999999999</v>
          </cell>
          <cell r="W229">
            <v>0.13903915999999999</v>
          </cell>
          <cell r="X229">
            <v>0.15293996000000001</v>
          </cell>
          <cell r="Y229">
            <v>0.14417033000000001</v>
          </cell>
          <cell r="Z229">
            <v>0.13735987</v>
          </cell>
          <cell r="AA229">
            <v>0.13132684999999999</v>
          </cell>
          <cell r="AB229">
            <v>0.12423650999999999</v>
          </cell>
          <cell r="AC229">
            <v>0.12622678000000001</v>
          </cell>
          <cell r="AD229">
            <v>0.13403238000000001</v>
          </cell>
          <cell r="AE229">
            <v>0.12171757</v>
          </cell>
          <cell r="AF229">
            <v>0.11826569399999998</v>
          </cell>
          <cell r="AG229">
            <v>0.10688382599999999</v>
          </cell>
          <cell r="AH229">
            <v>0.10794115799999998</v>
          </cell>
          <cell r="AI229">
            <v>0.10504904399999998</v>
          </cell>
          <cell r="AJ229">
            <v>9.0930551999999998E-2</v>
          </cell>
          <cell r="AK229">
            <v>8.1321269999999987E-2</v>
          </cell>
          <cell r="AL229">
            <v>8.2440797999999982E-2</v>
          </cell>
          <cell r="AM229">
            <v>8.0170643999999985E-2</v>
          </cell>
          <cell r="AN229">
            <v>7.7465117999999986E-2</v>
          </cell>
          <cell r="AO229">
            <v>9.2205569999999987E-2</v>
          </cell>
          <cell r="AP229">
            <v>9.8394071999999999E-2</v>
          </cell>
          <cell r="AQ229">
            <v>8.7509771999999986E-2</v>
          </cell>
          <cell r="AR229">
            <v>7.3391279999999989E-2</v>
          </cell>
          <cell r="AS229">
            <v>6.5678976E-2</v>
          </cell>
          <cell r="AT229">
            <v>5.7438005999999993E-2</v>
          </cell>
          <cell r="AU229">
            <v>6.2755763999999992E-2</v>
          </cell>
          <cell r="AV229" t="str">
            <v>ser ok ud</v>
          </cell>
          <cell r="AX229" t="str">
            <v>ENS: End use, olie / Oilsys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CLE"/>
      <sheetName val="Introduction"/>
      <sheetName val="Countries"/>
      <sheetName val="Sources "/>
      <sheetName val="Main controls"/>
      <sheetName val="ODEX graphics"/>
      <sheetName val="Decomposition graphics"/>
      <sheetName val="Macroeconomy"/>
      <sheetName val="Industry"/>
      <sheetName val="Transport"/>
      <sheetName val="Transport estimation mode"/>
      <sheetName val="Households"/>
      <sheetName val="Services"/>
      <sheetName val="tcam"/>
      <sheetName val="Estimates"/>
      <sheetName val="Household estimation mode"/>
      <sheetName val="Energy_prices"/>
      <sheetName val="IndustryODEX"/>
      <sheetName val="TransportODEX"/>
      <sheetName val="HouseholdsODEX"/>
      <sheetName val="ServicesODEX"/>
      <sheetName val="GlobalODEX"/>
      <sheetName val="Final decomposition"/>
      <sheetName val="Primary decomposition"/>
      <sheetName val="Advanced_indicators"/>
      <sheetName val="EEA_CO2_emissions"/>
      <sheetName val="liste_DGTREN"/>
      <sheetName val="Financial indicators"/>
      <sheetName val="Parameters"/>
    </sheetNames>
    <sheetDataSet>
      <sheetData sheetId="0"/>
      <sheetData sheetId="1">
        <row r="7">
          <cell r="C7" t="str">
            <v>Estonia</v>
          </cell>
        </row>
        <row r="9">
          <cell r="C9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CLE"/>
      <sheetName val="Introduction"/>
      <sheetName val="Countries"/>
      <sheetName val="Sources "/>
      <sheetName val="Main controls"/>
      <sheetName val="ODEX graphics"/>
      <sheetName val="Decomposition graphics"/>
      <sheetName val="Macroeconomy"/>
      <sheetName val="Industry"/>
      <sheetName val="Transport"/>
      <sheetName val="Transport estimation mode"/>
      <sheetName val="Households"/>
      <sheetName val="Services"/>
      <sheetName val="tcam"/>
      <sheetName val="Estimates"/>
      <sheetName val="Household estimation mode"/>
      <sheetName val="Energy_prices"/>
      <sheetName val="IndustryODEX"/>
      <sheetName val="TransportODEX"/>
      <sheetName val="HouseholdsODEX"/>
      <sheetName val="ServicesODEX"/>
      <sheetName val="GlobalODEX"/>
      <sheetName val="Final decomposition"/>
      <sheetName val="Primary decomposition"/>
      <sheetName val="Advanced_indicators"/>
      <sheetName val="EEA_CO2_emissions"/>
      <sheetName val="liste_DGTREN"/>
      <sheetName val="Financial indicators"/>
      <sheetName val="Parameters"/>
    </sheetNames>
    <sheetDataSet>
      <sheetData sheetId="0"/>
      <sheetData sheetId="1">
        <row r="9">
          <cell r="C9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s "/>
      <sheetName val=" Macroeconomy (ktoe)"/>
      <sheetName val="Macroeconomy (MWh)"/>
      <sheetName val=" INDUSTRY (ktoe)"/>
      <sheetName val=" INDUSTRY (GWh)"/>
      <sheetName val="Baseline scenario"/>
      <sheetName val="Transport"/>
      <sheetName val="Housholds"/>
      <sheetName val="SERVICE"/>
      <sheetName val="Energy prices"/>
      <sheetName val="Sheet1"/>
    </sheetNames>
    <sheetDataSet>
      <sheetData sheetId="0"/>
      <sheetData sheetId="1">
        <row r="22">
          <cell r="C22">
            <v>8948.4338000000007</v>
          </cell>
          <cell r="D22">
            <v>9865.3427000000011</v>
          </cell>
          <cell r="E22">
            <v>10661.891000000001</v>
          </cell>
          <cell r="F22">
            <v>11303.986999999996</v>
          </cell>
          <cell r="G22">
            <v>12002.619099999998</v>
          </cell>
          <cell r="H22">
            <v>12377.5</v>
          </cell>
          <cell r="I22">
            <v>13056.199999999997</v>
          </cell>
          <cell r="J22">
            <v>14387.6</v>
          </cell>
          <cell r="K22">
            <v>15786.5</v>
          </cell>
          <cell r="L22">
            <v>17088.399999999998</v>
          </cell>
          <cell r="M22">
            <v>17296.099999999995</v>
          </cell>
          <cell r="N22">
            <v>19665</v>
          </cell>
        </row>
        <row r="26">
          <cell r="C26">
            <v>10981.1</v>
          </cell>
          <cell r="D26">
            <v>11390.9</v>
          </cell>
          <cell r="E26">
            <v>11687.6</v>
          </cell>
          <cell r="F26">
            <v>11835.7</v>
          </cell>
          <cell r="G26">
            <v>12106.7</v>
          </cell>
          <cell r="H26">
            <v>12377.5</v>
          </cell>
          <cell r="I26">
            <v>12733.2</v>
          </cell>
          <cell r="J26">
            <v>13608.1</v>
          </cell>
          <cell r="K26">
            <v>14223.2</v>
          </cell>
          <cell r="L26">
            <v>14917.499999999996</v>
          </cell>
          <cell r="M26">
            <v>14952</v>
          </cell>
          <cell r="N26">
            <v>16239.800000000001</v>
          </cell>
        </row>
      </sheetData>
      <sheetData sheetId="2"/>
      <sheetData sheetId="3"/>
      <sheetData sheetId="4"/>
      <sheetData sheetId="5"/>
      <sheetData sheetId="6"/>
      <sheetData sheetId="7">
        <row r="166">
          <cell r="C166">
            <v>1.0995981604478282</v>
          </cell>
          <cell r="D166">
            <v>0.91887610922116014</v>
          </cell>
          <cell r="E166">
            <v>1.030387709919542</v>
          </cell>
          <cell r="F166">
            <v>0.93469769785985546</v>
          </cell>
          <cell r="G166">
            <v>0.93218901308565971</v>
          </cell>
          <cell r="H166">
            <v>0.85397879655128961</v>
          </cell>
          <cell r="I166">
            <v>0.94687663120758847</v>
          </cell>
          <cell r="J166">
            <v>0.94712862465575876</v>
          </cell>
          <cell r="K166">
            <v>0.9145202224742156</v>
          </cell>
          <cell r="L166">
            <v>0.87366353474809655</v>
          </cell>
          <cell r="M166">
            <v>0.8212286480551505</v>
          </cell>
          <cell r="N166">
            <v>0.95960005039868956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nc.e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nt.ee/eng/organization/estonian-road-administration" TargetMode="External"/><Relationship Id="rId7" Type="http://schemas.openxmlformats.org/officeDocument/2006/relationships/hyperlink" Target="https://www.envir.ee/" TargetMode="External"/><Relationship Id="rId12" Type="http://schemas.openxmlformats.org/officeDocument/2006/relationships/hyperlink" Target="https://livekluster.ehr.ee/ui/ehr/v1/infoportal/buildingdata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stat.ee/" TargetMode="External"/><Relationship Id="rId6" Type="http://schemas.openxmlformats.org/officeDocument/2006/relationships/hyperlink" Target="http://pxweb.tai.ee/PXWeb2015/pxweb/et/04THressursid/04THressursid__02Ravivoodid__01Aastastatistika/RV301.px/?rxid=25b1d504-d2e3-444a-b33f-d4063ae85bf4" TargetMode="External"/><Relationship Id="rId11" Type="http://schemas.openxmlformats.org/officeDocument/2006/relationships/hyperlink" Target="https://unfccc.int/ghg-inventories-annex-i-parties/" TargetMode="External"/><Relationship Id="rId5" Type="http://schemas.openxmlformats.org/officeDocument/2006/relationships/hyperlink" Target="https://www.taltech.ee/" TargetMode="External"/><Relationship Id="rId10" Type="http://schemas.openxmlformats.org/officeDocument/2006/relationships/hyperlink" Target="https://www.odyssee-mure.eu/" TargetMode="External"/><Relationship Id="rId4" Type="http://schemas.openxmlformats.org/officeDocument/2006/relationships/hyperlink" Target="https://www.keskkonnaagentuur.ee/en" TargetMode="External"/><Relationship Id="rId9" Type="http://schemas.openxmlformats.org/officeDocument/2006/relationships/hyperlink" Target="https://ec.europa.eu/transport/facts-fundings/statistics/pocketbook-2019_e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arenguseire.ee/wp-content/uploads/2022/03/2021_the_future_of_mobility_report_web.pdf" TargetMode="External"/><Relationship Id="rId2" Type="http://schemas.openxmlformats.org/officeDocument/2006/relationships/hyperlink" Target="https://arenguseire.ee/wp-content/uploads/2022/03/2021_the_future_of_mobility_report_web.pdf" TargetMode="External"/><Relationship Id="rId1" Type="http://schemas.openxmlformats.org/officeDocument/2006/relationships/hyperlink" Target="https://arenguseire.ee/wp-content/uploads/2022/03/2021_the_future_of_mobility_report_web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.europa.eu/eurostat/databrowser/view/nrg_chdd_a/default/table?lang=en" TargetMode="External"/><Relationship Id="rId1" Type="http://schemas.openxmlformats.org/officeDocument/2006/relationships/hyperlink" Target="https://ec.europa.eu/eurostat/databrowser/view/nrg_chdd_a/default/table?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view/ert_bil_eur_a/default/table?lang=en" TargetMode="External"/><Relationship Id="rId2" Type="http://schemas.openxmlformats.org/officeDocument/2006/relationships/hyperlink" Target="https://ec.europa.eu/eurostat/databrowser/view/nrg_chdd_a/default/table?lang=en" TargetMode="External"/><Relationship Id="rId1" Type="http://schemas.openxmlformats.org/officeDocument/2006/relationships/hyperlink" Target="https://ec.europa.eu/eurostat/databrowser/view/nrg_chdd_a/default/table?lang=en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ec.europa.eu/eurostat/databrowser/view/ert_bil_eur_a/default/table?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knc.ee/et/tegevusandmed" TargetMode="External"/><Relationship Id="rId1" Type="http://schemas.openxmlformats.org/officeDocument/2006/relationships/hyperlink" Target="https://www.knc.ee/et/tegevusandme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knc.ee/et/tegevusandmed" TargetMode="External"/><Relationship Id="rId1" Type="http://schemas.openxmlformats.org/officeDocument/2006/relationships/hyperlink" Target="https://www.knc.ee/et/tegevusandmed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9A06-C29E-4A73-972C-98F6E6155B35}">
  <sheetPr codeName="Feuil3">
    <tabColor theme="9"/>
  </sheetPr>
  <dimension ref="A1:XFD45"/>
  <sheetViews>
    <sheetView topLeftCell="A6" zoomScale="70" zoomScaleNormal="70" workbookViewId="0">
      <selection activeCell="B6" sqref="B6"/>
    </sheetView>
  </sheetViews>
  <sheetFormatPr defaultColWidth="15.33203125" defaultRowHeight="20.100000000000001" customHeight="1" x14ac:dyDescent="0.3"/>
  <cols>
    <col min="1" max="1" width="27.5546875" style="109" customWidth="1"/>
    <col min="2" max="2" width="70.44140625" style="109" customWidth="1"/>
    <col min="3" max="3" width="59.88671875" style="109" customWidth="1"/>
    <col min="4" max="4" width="23.88671875" style="109" customWidth="1"/>
    <col min="5" max="16384" width="15.33203125" style="109"/>
  </cols>
  <sheetData>
    <row r="1" spans="1:16384" ht="39.9" customHeight="1" x14ac:dyDescent="0.3">
      <c r="C1" s="110"/>
      <c r="F1" s="110" t="str">
        <f>[3]Introduction!C7</f>
        <v>Estonia</v>
      </c>
    </row>
    <row r="2" spans="1:16384" ht="39.9" customHeight="1" x14ac:dyDescent="0.3">
      <c r="A2" s="415" t="s">
        <v>0</v>
      </c>
      <c r="B2" s="415" t="s">
        <v>1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5"/>
      <c r="EN2" s="415"/>
      <c r="EO2" s="415"/>
      <c r="EP2" s="415"/>
      <c r="EQ2" s="415"/>
      <c r="ER2" s="415"/>
      <c r="ES2" s="415"/>
      <c r="ET2" s="415"/>
      <c r="EU2" s="415"/>
      <c r="EV2" s="415"/>
      <c r="EW2" s="415"/>
      <c r="EX2" s="415"/>
      <c r="EY2" s="415"/>
      <c r="EZ2" s="415"/>
      <c r="FA2" s="415"/>
      <c r="FB2" s="415"/>
      <c r="FC2" s="415"/>
      <c r="FD2" s="415"/>
      <c r="FE2" s="415"/>
      <c r="FF2" s="415"/>
      <c r="FG2" s="415"/>
      <c r="FH2" s="415"/>
      <c r="FI2" s="415"/>
      <c r="FJ2" s="415"/>
      <c r="FK2" s="415"/>
      <c r="FL2" s="415"/>
      <c r="FM2" s="415"/>
      <c r="FN2" s="415"/>
      <c r="FO2" s="415"/>
      <c r="FP2" s="415"/>
      <c r="FQ2" s="415"/>
      <c r="FR2" s="415"/>
      <c r="FS2" s="415"/>
      <c r="FT2" s="415"/>
      <c r="FU2" s="415"/>
      <c r="FV2" s="415"/>
      <c r="FW2" s="415"/>
      <c r="FX2" s="415"/>
      <c r="FY2" s="415"/>
      <c r="FZ2" s="415"/>
      <c r="GA2" s="415"/>
      <c r="GB2" s="415"/>
      <c r="GC2" s="415"/>
      <c r="GD2" s="415"/>
      <c r="GE2" s="415"/>
      <c r="GF2" s="415"/>
      <c r="GG2" s="415"/>
      <c r="GH2" s="415"/>
      <c r="GI2" s="415"/>
      <c r="GJ2" s="415"/>
      <c r="GK2" s="415"/>
      <c r="GL2" s="415"/>
      <c r="GM2" s="415"/>
      <c r="GN2" s="415"/>
      <c r="GO2" s="415"/>
      <c r="GP2" s="415"/>
      <c r="GQ2" s="415"/>
      <c r="GR2" s="415"/>
      <c r="GS2" s="415"/>
      <c r="GT2" s="415"/>
      <c r="GU2" s="415"/>
      <c r="GV2" s="415"/>
      <c r="GW2" s="415"/>
      <c r="GX2" s="415"/>
      <c r="GY2" s="415"/>
      <c r="GZ2" s="415"/>
      <c r="HA2" s="415"/>
      <c r="HB2" s="415"/>
      <c r="HC2" s="415"/>
      <c r="HD2" s="415"/>
      <c r="HE2" s="415"/>
      <c r="HF2" s="415"/>
      <c r="HG2" s="415"/>
      <c r="HH2" s="415"/>
      <c r="HI2" s="415"/>
      <c r="HJ2" s="415"/>
      <c r="HK2" s="415"/>
      <c r="HL2" s="415"/>
      <c r="HM2" s="415"/>
      <c r="HN2" s="415"/>
      <c r="HO2" s="415"/>
      <c r="HP2" s="415"/>
      <c r="HQ2" s="415"/>
      <c r="HR2" s="415"/>
      <c r="HS2" s="415"/>
      <c r="HT2" s="415"/>
      <c r="HU2" s="415"/>
      <c r="HV2" s="415"/>
      <c r="HW2" s="415"/>
      <c r="HX2" s="415"/>
      <c r="HY2" s="415"/>
      <c r="HZ2" s="415"/>
      <c r="IA2" s="415"/>
      <c r="IB2" s="415"/>
      <c r="IC2" s="415"/>
      <c r="ID2" s="415"/>
      <c r="IE2" s="415"/>
      <c r="IF2" s="415"/>
      <c r="IG2" s="415"/>
      <c r="IH2" s="415"/>
      <c r="II2" s="415"/>
      <c r="IJ2" s="415"/>
      <c r="IK2" s="415"/>
      <c r="IL2" s="415"/>
      <c r="IM2" s="415"/>
      <c r="IN2" s="415"/>
      <c r="IO2" s="415"/>
      <c r="IP2" s="415"/>
      <c r="IQ2" s="415"/>
      <c r="IR2" s="415"/>
      <c r="IS2" s="415"/>
      <c r="IT2" s="415"/>
      <c r="IU2" s="415"/>
      <c r="IV2" s="415"/>
      <c r="IW2" s="415"/>
      <c r="IX2" s="415"/>
      <c r="IY2" s="415"/>
      <c r="IZ2" s="415"/>
      <c r="JA2" s="415"/>
      <c r="JB2" s="415"/>
      <c r="JC2" s="415"/>
      <c r="JD2" s="415"/>
      <c r="JE2" s="415"/>
      <c r="JF2" s="415"/>
      <c r="JG2" s="415"/>
      <c r="JH2" s="415"/>
      <c r="JI2" s="415"/>
      <c r="JJ2" s="415"/>
      <c r="JK2" s="415"/>
      <c r="JL2" s="415"/>
      <c r="JM2" s="415"/>
      <c r="JN2" s="415"/>
      <c r="JO2" s="415"/>
      <c r="JP2" s="415"/>
      <c r="JQ2" s="415"/>
      <c r="JR2" s="415"/>
      <c r="JS2" s="415"/>
      <c r="JT2" s="415"/>
      <c r="JU2" s="415"/>
      <c r="JV2" s="415"/>
      <c r="JW2" s="415"/>
      <c r="JX2" s="415"/>
      <c r="JY2" s="415"/>
      <c r="JZ2" s="415"/>
      <c r="KA2" s="415"/>
      <c r="KB2" s="415"/>
      <c r="KC2" s="415"/>
      <c r="KD2" s="415"/>
      <c r="KE2" s="415"/>
      <c r="KF2" s="415"/>
      <c r="KG2" s="415"/>
      <c r="KH2" s="415"/>
      <c r="KI2" s="415"/>
      <c r="KJ2" s="415"/>
      <c r="KK2" s="415"/>
      <c r="KL2" s="415"/>
      <c r="KM2" s="415"/>
      <c r="KN2" s="415"/>
      <c r="KO2" s="415"/>
      <c r="KP2" s="415"/>
      <c r="KQ2" s="415"/>
      <c r="KR2" s="415"/>
      <c r="KS2" s="415"/>
      <c r="KT2" s="415"/>
      <c r="KU2" s="415"/>
      <c r="KV2" s="415"/>
      <c r="KW2" s="415"/>
      <c r="KX2" s="415"/>
      <c r="KY2" s="415"/>
      <c r="KZ2" s="415"/>
      <c r="LA2" s="415"/>
      <c r="LB2" s="415"/>
      <c r="LC2" s="415"/>
      <c r="LD2" s="415"/>
      <c r="LE2" s="415"/>
      <c r="LF2" s="415"/>
      <c r="LG2" s="415"/>
      <c r="LH2" s="415"/>
      <c r="LI2" s="415"/>
      <c r="LJ2" s="415"/>
      <c r="LK2" s="415"/>
      <c r="LL2" s="415"/>
      <c r="LM2" s="415"/>
      <c r="LN2" s="415"/>
      <c r="LO2" s="415"/>
      <c r="LP2" s="415"/>
      <c r="LQ2" s="415"/>
      <c r="LR2" s="415"/>
      <c r="LS2" s="415"/>
      <c r="LT2" s="415"/>
      <c r="LU2" s="415"/>
      <c r="LV2" s="415"/>
      <c r="LW2" s="415"/>
      <c r="LX2" s="415"/>
      <c r="LY2" s="415"/>
      <c r="LZ2" s="415"/>
      <c r="MA2" s="415"/>
      <c r="MB2" s="415"/>
      <c r="MC2" s="415"/>
      <c r="MD2" s="415"/>
      <c r="ME2" s="415"/>
      <c r="MF2" s="415"/>
      <c r="MG2" s="415"/>
      <c r="MH2" s="415"/>
      <c r="MI2" s="415"/>
      <c r="MJ2" s="415"/>
      <c r="MK2" s="415"/>
      <c r="ML2" s="415"/>
      <c r="MM2" s="415"/>
      <c r="MN2" s="415"/>
      <c r="MO2" s="415"/>
      <c r="MP2" s="415"/>
      <c r="MQ2" s="415"/>
      <c r="MR2" s="415"/>
      <c r="MS2" s="415"/>
      <c r="MT2" s="415"/>
      <c r="MU2" s="415"/>
      <c r="MV2" s="415"/>
      <c r="MW2" s="415"/>
      <c r="MX2" s="415"/>
      <c r="MY2" s="415"/>
      <c r="MZ2" s="415"/>
      <c r="NA2" s="415"/>
      <c r="NB2" s="415"/>
      <c r="NC2" s="415"/>
      <c r="ND2" s="415"/>
      <c r="NE2" s="415"/>
      <c r="NF2" s="415"/>
      <c r="NG2" s="415"/>
      <c r="NH2" s="415"/>
      <c r="NI2" s="415"/>
      <c r="NJ2" s="415"/>
      <c r="NK2" s="415"/>
      <c r="NL2" s="415"/>
      <c r="NM2" s="415"/>
      <c r="NN2" s="415"/>
      <c r="NO2" s="415"/>
      <c r="NP2" s="415"/>
      <c r="NQ2" s="415"/>
      <c r="NR2" s="415"/>
      <c r="NS2" s="415"/>
      <c r="NT2" s="415"/>
      <c r="NU2" s="415"/>
      <c r="NV2" s="415"/>
      <c r="NW2" s="415"/>
      <c r="NX2" s="415"/>
      <c r="NY2" s="415"/>
      <c r="NZ2" s="415"/>
      <c r="OA2" s="415"/>
      <c r="OB2" s="415"/>
      <c r="OC2" s="415"/>
      <c r="OD2" s="415"/>
      <c r="OE2" s="415"/>
      <c r="OF2" s="415"/>
      <c r="OG2" s="415"/>
      <c r="OH2" s="415"/>
      <c r="OI2" s="415"/>
      <c r="OJ2" s="415"/>
      <c r="OK2" s="415"/>
      <c r="OL2" s="415"/>
      <c r="OM2" s="415"/>
      <c r="ON2" s="415"/>
      <c r="OO2" s="415"/>
      <c r="OP2" s="415"/>
      <c r="OQ2" s="415"/>
      <c r="OR2" s="415"/>
      <c r="OS2" s="415"/>
      <c r="OT2" s="415"/>
      <c r="OU2" s="415"/>
      <c r="OV2" s="415"/>
      <c r="OW2" s="415"/>
      <c r="OX2" s="415"/>
      <c r="OY2" s="415"/>
      <c r="OZ2" s="415"/>
      <c r="PA2" s="415"/>
      <c r="PB2" s="415"/>
      <c r="PC2" s="415"/>
      <c r="PD2" s="415"/>
      <c r="PE2" s="415"/>
      <c r="PF2" s="415"/>
      <c r="PG2" s="415"/>
      <c r="PH2" s="415"/>
      <c r="PI2" s="415"/>
      <c r="PJ2" s="415"/>
      <c r="PK2" s="415"/>
      <c r="PL2" s="415"/>
      <c r="PM2" s="415"/>
      <c r="PN2" s="415"/>
      <c r="PO2" s="415"/>
      <c r="PP2" s="415"/>
      <c r="PQ2" s="415"/>
      <c r="PR2" s="415"/>
      <c r="PS2" s="415"/>
      <c r="PT2" s="415"/>
      <c r="PU2" s="415"/>
      <c r="PV2" s="415"/>
      <c r="PW2" s="415"/>
      <c r="PX2" s="415"/>
      <c r="PY2" s="415"/>
      <c r="PZ2" s="415"/>
      <c r="QA2" s="415"/>
      <c r="QB2" s="415"/>
      <c r="QC2" s="415"/>
      <c r="QD2" s="415"/>
      <c r="QE2" s="415"/>
      <c r="QF2" s="415"/>
      <c r="QG2" s="415"/>
      <c r="QH2" s="415"/>
      <c r="QI2" s="415"/>
      <c r="QJ2" s="415"/>
      <c r="QK2" s="415"/>
      <c r="QL2" s="415"/>
      <c r="QM2" s="415"/>
      <c r="QN2" s="415"/>
      <c r="QO2" s="415"/>
      <c r="QP2" s="415"/>
      <c r="QQ2" s="415"/>
      <c r="QR2" s="415"/>
      <c r="QS2" s="415"/>
      <c r="QT2" s="415"/>
      <c r="QU2" s="415"/>
      <c r="QV2" s="415"/>
      <c r="QW2" s="415"/>
      <c r="QX2" s="415"/>
      <c r="QY2" s="415"/>
      <c r="QZ2" s="415"/>
      <c r="RA2" s="415"/>
      <c r="RB2" s="415"/>
      <c r="RC2" s="415"/>
      <c r="RD2" s="415"/>
      <c r="RE2" s="415"/>
      <c r="RF2" s="415"/>
      <c r="RG2" s="415"/>
      <c r="RH2" s="415"/>
      <c r="RI2" s="415"/>
      <c r="RJ2" s="415"/>
      <c r="RK2" s="415"/>
      <c r="RL2" s="415"/>
      <c r="RM2" s="415"/>
      <c r="RN2" s="415"/>
      <c r="RO2" s="415"/>
      <c r="RP2" s="415"/>
      <c r="RQ2" s="415"/>
      <c r="RR2" s="415"/>
      <c r="RS2" s="415"/>
      <c r="RT2" s="415"/>
      <c r="RU2" s="415"/>
      <c r="RV2" s="415"/>
      <c r="RW2" s="415"/>
      <c r="RX2" s="415"/>
      <c r="RY2" s="415"/>
      <c r="RZ2" s="415"/>
      <c r="SA2" s="415"/>
      <c r="SB2" s="415"/>
      <c r="SC2" s="415"/>
      <c r="SD2" s="415"/>
      <c r="SE2" s="415"/>
      <c r="SF2" s="415"/>
      <c r="SG2" s="415"/>
      <c r="SH2" s="415"/>
      <c r="SI2" s="415"/>
      <c r="SJ2" s="415"/>
      <c r="SK2" s="415"/>
      <c r="SL2" s="415"/>
      <c r="SM2" s="415"/>
      <c r="SN2" s="415"/>
      <c r="SO2" s="415"/>
      <c r="SP2" s="415"/>
      <c r="SQ2" s="415"/>
      <c r="SR2" s="415"/>
      <c r="SS2" s="415"/>
      <c r="ST2" s="415"/>
      <c r="SU2" s="415"/>
      <c r="SV2" s="415"/>
      <c r="SW2" s="415"/>
      <c r="SX2" s="415"/>
      <c r="SY2" s="415"/>
      <c r="SZ2" s="415"/>
      <c r="TA2" s="415"/>
      <c r="TB2" s="415"/>
      <c r="TC2" s="415"/>
      <c r="TD2" s="415"/>
      <c r="TE2" s="415"/>
      <c r="TF2" s="415"/>
      <c r="TG2" s="415"/>
      <c r="TH2" s="415"/>
      <c r="TI2" s="415"/>
      <c r="TJ2" s="415"/>
      <c r="TK2" s="415"/>
      <c r="TL2" s="415"/>
      <c r="TM2" s="415"/>
      <c r="TN2" s="415"/>
      <c r="TO2" s="415"/>
      <c r="TP2" s="415"/>
      <c r="TQ2" s="415"/>
      <c r="TR2" s="415"/>
      <c r="TS2" s="415"/>
      <c r="TT2" s="415"/>
      <c r="TU2" s="415"/>
      <c r="TV2" s="415"/>
      <c r="TW2" s="415"/>
      <c r="TX2" s="415"/>
      <c r="TY2" s="415"/>
      <c r="TZ2" s="415"/>
      <c r="UA2" s="415"/>
      <c r="UB2" s="415"/>
      <c r="UC2" s="415"/>
      <c r="UD2" s="415"/>
      <c r="UE2" s="415"/>
      <c r="UF2" s="415"/>
      <c r="UG2" s="415"/>
      <c r="UH2" s="415"/>
      <c r="UI2" s="415"/>
      <c r="UJ2" s="415"/>
      <c r="UK2" s="415"/>
      <c r="UL2" s="415"/>
      <c r="UM2" s="415"/>
      <c r="UN2" s="415"/>
      <c r="UO2" s="415"/>
      <c r="UP2" s="415"/>
      <c r="UQ2" s="415"/>
      <c r="UR2" s="415"/>
      <c r="US2" s="415"/>
      <c r="UT2" s="415"/>
      <c r="UU2" s="415"/>
      <c r="UV2" s="415"/>
      <c r="UW2" s="415"/>
      <c r="UX2" s="415"/>
      <c r="UY2" s="415"/>
      <c r="UZ2" s="415"/>
      <c r="VA2" s="415"/>
      <c r="VB2" s="415"/>
      <c r="VC2" s="415"/>
      <c r="VD2" s="415"/>
      <c r="VE2" s="415"/>
      <c r="VF2" s="415"/>
      <c r="VG2" s="415"/>
      <c r="VH2" s="415"/>
      <c r="VI2" s="415"/>
      <c r="VJ2" s="415"/>
      <c r="VK2" s="415"/>
      <c r="VL2" s="415"/>
      <c r="VM2" s="415"/>
      <c r="VN2" s="415"/>
      <c r="VO2" s="415"/>
      <c r="VP2" s="415"/>
      <c r="VQ2" s="415"/>
      <c r="VR2" s="415"/>
      <c r="VS2" s="415"/>
      <c r="VT2" s="415"/>
      <c r="VU2" s="415"/>
      <c r="VV2" s="415"/>
      <c r="VW2" s="415"/>
      <c r="VX2" s="415"/>
      <c r="VY2" s="415"/>
      <c r="VZ2" s="415"/>
      <c r="WA2" s="415"/>
      <c r="WB2" s="415"/>
      <c r="WC2" s="415"/>
      <c r="WD2" s="415"/>
      <c r="WE2" s="415"/>
      <c r="WF2" s="415"/>
      <c r="WG2" s="415"/>
      <c r="WH2" s="415"/>
      <c r="WI2" s="415"/>
      <c r="WJ2" s="415"/>
      <c r="WK2" s="415"/>
      <c r="WL2" s="415"/>
      <c r="WM2" s="415"/>
      <c r="WN2" s="415"/>
      <c r="WO2" s="415"/>
      <c r="WP2" s="415"/>
      <c r="WQ2" s="415"/>
      <c r="WR2" s="415"/>
      <c r="WS2" s="415"/>
      <c r="WT2" s="415"/>
      <c r="WU2" s="415"/>
      <c r="WV2" s="415"/>
      <c r="WW2" s="415"/>
      <c r="WX2" s="415"/>
      <c r="WY2" s="415"/>
      <c r="WZ2" s="415"/>
      <c r="XA2" s="415"/>
      <c r="XB2" s="415"/>
      <c r="XC2" s="415"/>
      <c r="XD2" s="415"/>
      <c r="XE2" s="415"/>
      <c r="XF2" s="415"/>
      <c r="XG2" s="415"/>
      <c r="XH2" s="415"/>
      <c r="XI2" s="415"/>
      <c r="XJ2" s="415"/>
      <c r="XK2" s="415"/>
      <c r="XL2" s="415"/>
      <c r="XM2" s="415"/>
      <c r="XN2" s="415"/>
      <c r="XO2" s="415"/>
      <c r="XP2" s="415"/>
      <c r="XQ2" s="415"/>
      <c r="XR2" s="415"/>
      <c r="XS2" s="415"/>
      <c r="XT2" s="415"/>
      <c r="XU2" s="415"/>
      <c r="XV2" s="415"/>
      <c r="XW2" s="415"/>
      <c r="XX2" s="415"/>
      <c r="XY2" s="415"/>
      <c r="XZ2" s="415"/>
      <c r="YA2" s="415"/>
      <c r="YB2" s="415"/>
      <c r="YC2" s="415"/>
      <c r="YD2" s="415"/>
      <c r="YE2" s="415"/>
      <c r="YF2" s="415"/>
      <c r="YG2" s="415"/>
      <c r="YH2" s="415"/>
      <c r="YI2" s="415"/>
      <c r="YJ2" s="415"/>
      <c r="YK2" s="415"/>
      <c r="YL2" s="415"/>
      <c r="YM2" s="415"/>
      <c r="YN2" s="415"/>
      <c r="YO2" s="415"/>
      <c r="YP2" s="415"/>
      <c r="YQ2" s="415"/>
      <c r="YR2" s="415"/>
      <c r="YS2" s="415"/>
      <c r="YT2" s="415"/>
      <c r="YU2" s="415"/>
      <c r="YV2" s="415"/>
      <c r="YW2" s="415"/>
      <c r="YX2" s="415"/>
      <c r="YY2" s="415"/>
      <c r="YZ2" s="415"/>
      <c r="ZA2" s="415"/>
      <c r="ZB2" s="415"/>
      <c r="ZC2" s="415"/>
      <c r="ZD2" s="415"/>
      <c r="ZE2" s="415"/>
      <c r="ZF2" s="415"/>
      <c r="ZG2" s="415"/>
      <c r="ZH2" s="415"/>
      <c r="ZI2" s="415"/>
      <c r="ZJ2" s="415"/>
      <c r="ZK2" s="415"/>
      <c r="ZL2" s="415"/>
      <c r="ZM2" s="415"/>
      <c r="ZN2" s="415"/>
      <c r="ZO2" s="415"/>
      <c r="ZP2" s="415"/>
      <c r="ZQ2" s="415"/>
      <c r="ZR2" s="415"/>
      <c r="ZS2" s="415"/>
      <c r="ZT2" s="415"/>
      <c r="ZU2" s="415"/>
      <c r="ZV2" s="415"/>
      <c r="ZW2" s="415"/>
      <c r="ZX2" s="415"/>
      <c r="ZY2" s="415"/>
      <c r="ZZ2" s="415"/>
      <c r="AAA2" s="415"/>
      <c r="AAB2" s="415"/>
      <c r="AAC2" s="415"/>
      <c r="AAD2" s="415"/>
      <c r="AAE2" s="415"/>
      <c r="AAF2" s="415"/>
      <c r="AAG2" s="415"/>
      <c r="AAH2" s="415"/>
      <c r="AAI2" s="415"/>
      <c r="AAJ2" s="415"/>
      <c r="AAK2" s="415"/>
      <c r="AAL2" s="415"/>
      <c r="AAM2" s="415"/>
      <c r="AAN2" s="415"/>
      <c r="AAO2" s="415"/>
      <c r="AAP2" s="415"/>
      <c r="AAQ2" s="415"/>
      <c r="AAR2" s="415"/>
      <c r="AAS2" s="415"/>
      <c r="AAT2" s="415"/>
      <c r="AAU2" s="415"/>
      <c r="AAV2" s="415"/>
      <c r="AAW2" s="415"/>
      <c r="AAX2" s="415"/>
      <c r="AAY2" s="415"/>
      <c r="AAZ2" s="415"/>
      <c r="ABA2" s="415"/>
      <c r="ABB2" s="415"/>
      <c r="ABC2" s="415"/>
      <c r="ABD2" s="415"/>
      <c r="ABE2" s="415"/>
      <c r="ABF2" s="415"/>
      <c r="ABG2" s="415"/>
      <c r="ABH2" s="415"/>
      <c r="ABI2" s="415"/>
      <c r="ABJ2" s="415"/>
      <c r="ABK2" s="415"/>
      <c r="ABL2" s="415"/>
      <c r="ABM2" s="415"/>
      <c r="ABN2" s="415"/>
      <c r="ABO2" s="415"/>
      <c r="ABP2" s="415"/>
      <c r="ABQ2" s="415"/>
      <c r="ABR2" s="415"/>
      <c r="ABS2" s="415"/>
      <c r="ABT2" s="415"/>
      <c r="ABU2" s="415"/>
      <c r="ABV2" s="415"/>
      <c r="ABW2" s="415"/>
      <c r="ABX2" s="415"/>
      <c r="ABY2" s="415"/>
      <c r="ABZ2" s="415"/>
      <c r="ACA2" s="415"/>
      <c r="ACB2" s="415"/>
      <c r="ACC2" s="415"/>
      <c r="ACD2" s="415"/>
      <c r="ACE2" s="415"/>
      <c r="ACF2" s="415"/>
      <c r="ACG2" s="415"/>
      <c r="ACH2" s="415"/>
      <c r="ACI2" s="415"/>
      <c r="ACJ2" s="415"/>
      <c r="ACK2" s="415"/>
      <c r="ACL2" s="415"/>
      <c r="ACM2" s="415"/>
      <c r="ACN2" s="415"/>
      <c r="ACO2" s="415"/>
      <c r="ACP2" s="415"/>
      <c r="ACQ2" s="415"/>
      <c r="ACR2" s="415"/>
      <c r="ACS2" s="415"/>
      <c r="ACT2" s="415"/>
      <c r="ACU2" s="415"/>
      <c r="ACV2" s="415"/>
      <c r="ACW2" s="415"/>
      <c r="ACX2" s="415"/>
      <c r="ACY2" s="415"/>
      <c r="ACZ2" s="415"/>
      <c r="ADA2" s="415"/>
      <c r="ADB2" s="415"/>
      <c r="ADC2" s="415"/>
      <c r="ADD2" s="415"/>
      <c r="ADE2" s="415"/>
      <c r="ADF2" s="415"/>
      <c r="ADG2" s="415"/>
      <c r="ADH2" s="415"/>
      <c r="ADI2" s="415"/>
      <c r="ADJ2" s="415"/>
      <c r="ADK2" s="415"/>
      <c r="ADL2" s="415"/>
      <c r="ADM2" s="415"/>
      <c r="ADN2" s="415"/>
      <c r="ADO2" s="415"/>
      <c r="ADP2" s="415"/>
      <c r="ADQ2" s="415"/>
      <c r="ADR2" s="415"/>
      <c r="ADS2" s="415"/>
      <c r="ADT2" s="415"/>
      <c r="ADU2" s="415"/>
      <c r="ADV2" s="415"/>
      <c r="ADW2" s="415"/>
      <c r="ADX2" s="415"/>
      <c r="ADY2" s="415"/>
      <c r="ADZ2" s="415"/>
      <c r="AEA2" s="415"/>
      <c r="AEB2" s="415"/>
      <c r="AEC2" s="415"/>
      <c r="AED2" s="415"/>
      <c r="AEE2" s="415"/>
      <c r="AEF2" s="415"/>
      <c r="AEG2" s="415"/>
      <c r="AEH2" s="415"/>
      <c r="AEI2" s="415"/>
      <c r="AEJ2" s="415"/>
      <c r="AEK2" s="415"/>
      <c r="AEL2" s="415"/>
      <c r="AEM2" s="415"/>
      <c r="AEN2" s="415"/>
      <c r="AEO2" s="415"/>
      <c r="AEP2" s="415"/>
      <c r="AEQ2" s="415"/>
      <c r="AER2" s="415"/>
      <c r="AES2" s="415"/>
      <c r="AET2" s="415"/>
      <c r="AEU2" s="415"/>
      <c r="AEV2" s="415"/>
      <c r="AEW2" s="415"/>
      <c r="AEX2" s="415"/>
      <c r="AEY2" s="415"/>
      <c r="AEZ2" s="415"/>
      <c r="AFA2" s="415"/>
      <c r="AFB2" s="415"/>
      <c r="AFC2" s="415"/>
      <c r="AFD2" s="415"/>
      <c r="AFE2" s="415"/>
      <c r="AFF2" s="415"/>
      <c r="AFG2" s="415"/>
      <c r="AFH2" s="415"/>
      <c r="AFI2" s="415"/>
      <c r="AFJ2" s="415"/>
      <c r="AFK2" s="415"/>
      <c r="AFL2" s="415"/>
      <c r="AFM2" s="415"/>
      <c r="AFN2" s="415"/>
      <c r="AFO2" s="415"/>
      <c r="AFP2" s="415"/>
      <c r="AFQ2" s="415"/>
      <c r="AFR2" s="415"/>
      <c r="AFS2" s="415"/>
      <c r="AFT2" s="415"/>
      <c r="AFU2" s="415"/>
      <c r="AFV2" s="415"/>
      <c r="AFW2" s="415"/>
      <c r="AFX2" s="415"/>
      <c r="AFY2" s="415"/>
      <c r="AFZ2" s="415"/>
      <c r="AGA2" s="415"/>
      <c r="AGB2" s="415"/>
      <c r="AGC2" s="415"/>
      <c r="AGD2" s="415"/>
      <c r="AGE2" s="415"/>
      <c r="AGF2" s="415"/>
      <c r="AGG2" s="415"/>
      <c r="AGH2" s="415"/>
      <c r="AGI2" s="415"/>
      <c r="AGJ2" s="415"/>
      <c r="AGK2" s="415"/>
      <c r="AGL2" s="415"/>
      <c r="AGM2" s="415"/>
      <c r="AGN2" s="415"/>
      <c r="AGO2" s="415"/>
      <c r="AGP2" s="415"/>
      <c r="AGQ2" s="415"/>
      <c r="AGR2" s="415"/>
      <c r="AGS2" s="415"/>
      <c r="AGT2" s="415"/>
      <c r="AGU2" s="415"/>
      <c r="AGV2" s="415"/>
      <c r="AGW2" s="415"/>
      <c r="AGX2" s="415"/>
      <c r="AGY2" s="415"/>
      <c r="AGZ2" s="415"/>
      <c r="AHA2" s="415"/>
      <c r="AHB2" s="415"/>
      <c r="AHC2" s="415"/>
      <c r="AHD2" s="415"/>
      <c r="AHE2" s="415"/>
      <c r="AHF2" s="415"/>
      <c r="AHG2" s="415"/>
      <c r="AHH2" s="415"/>
      <c r="AHI2" s="415"/>
      <c r="AHJ2" s="415"/>
      <c r="AHK2" s="415"/>
      <c r="AHL2" s="415"/>
      <c r="AHM2" s="415"/>
      <c r="AHN2" s="415"/>
      <c r="AHO2" s="415"/>
      <c r="AHP2" s="415"/>
      <c r="AHQ2" s="415"/>
      <c r="AHR2" s="415"/>
      <c r="AHS2" s="415"/>
      <c r="AHT2" s="415"/>
      <c r="AHU2" s="415"/>
      <c r="AHV2" s="415"/>
      <c r="AHW2" s="415"/>
      <c r="AHX2" s="415"/>
      <c r="AHY2" s="415"/>
      <c r="AHZ2" s="415"/>
      <c r="AIA2" s="415"/>
      <c r="AIB2" s="415"/>
      <c r="AIC2" s="415"/>
      <c r="AID2" s="415"/>
      <c r="AIE2" s="415"/>
      <c r="AIF2" s="415"/>
      <c r="AIG2" s="415"/>
      <c r="AIH2" s="415"/>
      <c r="AII2" s="415"/>
      <c r="AIJ2" s="415"/>
      <c r="AIK2" s="415"/>
      <c r="AIL2" s="415"/>
      <c r="AIM2" s="415"/>
      <c r="AIN2" s="415"/>
      <c r="AIO2" s="415"/>
      <c r="AIP2" s="415"/>
      <c r="AIQ2" s="415"/>
      <c r="AIR2" s="415"/>
      <c r="AIS2" s="415"/>
      <c r="AIT2" s="415"/>
      <c r="AIU2" s="415"/>
      <c r="AIV2" s="415"/>
      <c r="AIW2" s="415"/>
      <c r="AIX2" s="415"/>
      <c r="AIY2" s="415"/>
      <c r="AIZ2" s="415"/>
      <c r="AJA2" s="415"/>
      <c r="AJB2" s="415"/>
      <c r="AJC2" s="415"/>
      <c r="AJD2" s="415"/>
      <c r="AJE2" s="415"/>
      <c r="AJF2" s="415"/>
      <c r="AJG2" s="415"/>
      <c r="AJH2" s="415"/>
      <c r="AJI2" s="415"/>
      <c r="AJJ2" s="415"/>
      <c r="AJK2" s="415"/>
      <c r="AJL2" s="415"/>
      <c r="AJM2" s="415"/>
      <c r="AJN2" s="415"/>
      <c r="AJO2" s="415"/>
      <c r="AJP2" s="415"/>
      <c r="AJQ2" s="415"/>
      <c r="AJR2" s="415"/>
      <c r="AJS2" s="415"/>
      <c r="AJT2" s="415"/>
      <c r="AJU2" s="415"/>
      <c r="AJV2" s="415"/>
      <c r="AJW2" s="415"/>
      <c r="AJX2" s="415"/>
      <c r="AJY2" s="415"/>
      <c r="AJZ2" s="415"/>
      <c r="AKA2" s="415"/>
      <c r="AKB2" s="415"/>
      <c r="AKC2" s="415"/>
      <c r="AKD2" s="415"/>
      <c r="AKE2" s="415"/>
      <c r="AKF2" s="415"/>
      <c r="AKG2" s="415"/>
      <c r="AKH2" s="415"/>
      <c r="AKI2" s="415"/>
      <c r="AKJ2" s="415"/>
      <c r="AKK2" s="415"/>
      <c r="AKL2" s="415"/>
      <c r="AKM2" s="415"/>
      <c r="AKN2" s="415"/>
      <c r="AKO2" s="415"/>
      <c r="AKP2" s="415"/>
      <c r="AKQ2" s="415"/>
      <c r="AKR2" s="415"/>
      <c r="AKS2" s="415"/>
      <c r="AKT2" s="415"/>
      <c r="AKU2" s="415"/>
      <c r="AKV2" s="415"/>
      <c r="AKW2" s="415"/>
      <c r="AKX2" s="415"/>
      <c r="AKY2" s="415"/>
      <c r="AKZ2" s="415"/>
      <c r="ALA2" s="415"/>
      <c r="ALB2" s="415"/>
      <c r="ALC2" s="415"/>
      <c r="ALD2" s="415"/>
      <c r="ALE2" s="415"/>
      <c r="ALF2" s="415"/>
      <c r="ALG2" s="415"/>
      <c r="ALH2" s="415"/>
      <c r="ALI2" s="415"/>
      <c r="ALJ2" s="415"/>
      <c r="ALK2" s="415"/>
      <c r="ALL2" s="415"/>
      <c r="ALM2" s="415"/>
      <c r="ALN2" s="415"/>
      <c r="ALO2" s="415"/>
      <c r="ALP2" s="415"/>
      <c r="ALQ2" s="415"/>
      <c r="ALR2" s="415"/>
      <c r="ALS2" s="415"/>
      <c r="ALT2" s="415"/>
      <c r="ALU2" s="415"/>
      <c r="ALV2" s="415"/>
      <c r="ALW2" s="415"/>
      <c r="ALX2" s="415"/>
      <c r="ALY2" s="415"/>
      <c r="ALZ2" s="415"/>
      <c r="AMA2" s="415"/>
      <c r="AMB2" s="415"/>
      <c r="AMC2" s="415"/>
      <c r="AMD2" s="415"/>
      <c r="AME2" s="415"/>
      <c r="AMF2" s="415"/>
      <c r="AMG2" s="415"/>
      <c r="AMH2" s="415"/>
      <c r="AMI2" s="415"/>
      <c r="AMJ2" s="415"/>
      <c r="AMK2" s="415"/>
      <c r="AML2" s="415"/>
      <c r="AMM2" s="415"/>
      <c r="AMN2" s="415"/>
      <c r="AMO2" s="415"/>
      <c r="AMP2" s="415"/>
      <c r="AMQ2" s="415"/>
      <c r="AMR2" s="415"/>
      <c r="AMS2" s="415"/>
      <c r="AMT2" s="415"/>
      <c r="AMU2" s="415"/>
      <c r="AMV2" s="415"/>
      <c r="AMW2" s="415"/>
      <c r="AMX2" s="415"/>
      <c r="AMY2" s="415"/>
      <c r="AMZ2" s="415"/>
      <c r="ANA2" s="415"/>
      <c r="ANB2" s="415"/>
      <c r="ANC2" s="415"/>
      <c r="AND2" s="415"/>
      <c r="ANE2" s="415"/>
      <c r="ANF2" s="415"/>
      <c r="ANG2" s="415"/>
      <c r="ANH2" s="415"/>
      <c r="ANI2" s="415"/>
      <c r="ANJ2" s="415"/>
      <c r="ANK2" s="415"/>
      <c r="ANL2" s="415"/>
      <c r="ANM2" s="415"/>
      <c r="ANN2" s="415"/>
      <c r="ANO2" s="415"/>
      <c r="ANP2" s="415"/>
      <c r="ANQ2" s="415"/>
      <c r="ANR2" s="415"/>
      <c r="ANS2" s="415"/>
      <c r="ANT2" s="415"/>
      <c r="ANU2" s="415"/>
      <c r="ANV2" s="415"/>
      <c r="ANW2" s="415"/>
      <c r="ANX2" s="415"/>
      <c r="ANY2" s="415"/>
      <c r="ANZ2" s="415"/>
      <c r="AOA2" s="415"/>
      <c r="AOB2" s="415"/>
      <c r="AOC2" s="415"/>
      <c r="AOD2" s="415"/>
      <c r="AOE2" s="415"/>
      <c r="AOF2" s="415"/>
      <c r="AOG2" s="415"/>
      <c r="AOH2" s="415"/>
      <c r="AOI2" s="415"/>
      <c r="AOJ2" s="415"/>
      <c r="AOK2" s="415"/>
      <c r="AOL2" s="415"/>
      <c r="AOM2" s="415"/>
      <c r="AON2" s="415"/>
      <c r="AOO2" s="415"/>
      <c r="AOP2" s="415"/>
      <c r="AOQ2" s="415"/>
      <c r="AOR2" s="415"/>
      <c r="AOS2" s="415"/>
      <c r="AOT2" s="415"/>
      <c r="AOU2" s="415"/>
      <c r="AOV2" s="415"/>
      <c r="AOW2" s="415"/>
      <c r="AOX2" s="415"/>
      <c r="AOY2" s="415"/>
      <c r="AOZ2" s="415"/>
      <c r="APA2" s="415"/>
      <c r="APB2" s="415"/>
      <c r="APC2" s="415"/>
      <c r="APD2" s="415"/>
      <c r="APE2" s="415"/>
      <c r="APF2" s="415"/>
      <c r="APG2" s="415"/>
      <c r="APH2" s="415"/>
      <c r="API2" s="415"/>
      <c r="APJ2" s="415"/>
      <c r="APK2" s="415"/>
      <c r="APL2" s="415"/>
      <c r="APM2" s="415"/>
      <c r="APN2" s="415"/>
      <c r="APO2" s="415"/>
      <c r="APP2" s="415"/>
      <c r="APQ2" s="415"/>
      <c r="APR2" s="415"/>
      <c r="APS2" s="415"/>
      <c r="APT2" s="415"/>
      <c r="APU2" s="415"/>
      <c r="APV2" s="415"/>
      <c r="APW2" s="415"/>
      <c r="APX2" s="415"/>
      <c r="APY2" s="415"/>
      <c r="APZ2" s="415"/>
      <c r="AQA2" s="415"/>
      <c r="AQB2" s="415"/>
      <c r="AQC2" s="415"/>
      <c r="AQD2" s="415"/>
      <c r="AQE2" s="415"/>
      <c r="AQF2" s="415"/>
      <c r="AQG2" s="415"/>
      <c r="AQH2" s="415"/>
      <c r="AQI2" s="415"/>
      <c r="AQJ2" s="415"/>
      <c r="AQK2" s="415"/>
      <c r="AQL2" s="415"/>
      <c r="AQM2" s="415"/>
      <c r="AQN2" s="415"/>
      <c r="AQO2" s="415"/>
      <c r="AQP2" s="415"/>
      <c r="AQQ2" s="415"/>
      <c r="AQR2" s="415"/>
      <c r="AQS2" s="415"/>
      <c r="AQT2" s="415"/>
      <c r="AQU2" s="415"/>
      <c r="AQV2" s="415"/>
      <c r="AQW2" s="415"/>
      <c r="AQX2" s="415"/>
      <c r="AQY2" s="415"/>
      <c r="AQZ2" s="415"/>
      <c r="ARA2" s="415"/>
      <c r="ARB2" s="415"/>
      <c r="ARC2" s="415"/>
      <c r="ARD2" s="415"/>
      <c r="ARE2" s="415"/>
      <c r="ARF2" s="415"/>
      <c r="ARG2" s="415"/>
      <c r="ARH2" s="415"/>
      <c r="ARI2" s="415"/>
      <c r="ARJ2" s="415"/>
      <c r="ARK2" s="415"/>
      <c r="ARL2" s="415"/>
      <c r="ARM2" s="415"/>
      <c r="ARN2" s="415"/>
      <c r="ARO2" s="415"/>
      <c r="ARP2" s="415"/>
      <c r="ARQ2" s="415"/>
      <c r="ARR2" s="415"/>
      <c r="ARS2" s="415"/>
      <c r="ART2" s="415"/>
      <c r="ARU2" s="415"/>
      <c r="ARV2" s="415"/>
      <c r="ARW2" s="415"/>
      <c r="ARX2" s="415"/>
      <c r="ARY2" s="415"/>
      <c r="ARZ2" s="415"/>
      <c r="ASA2" s="415"/>
      <c r="ASB2" s="415"/>
      <c r="ASC2" s="415"/>
      <c r="ASD2" s="415"/>
      <c r="ASE2" s="415"/>
      <c r="ASF2" s="415"/>
      <c r="ASG2" s="415"/>
      <c r="ASH2" s="415"/>
      <c r="ASI2" s="415"/>
      <c r="ASJ2" s="415"/>
      <c r="ASK2" s="415"/>
      <c r="ASL2" s="415"/>
      <c r="ASM2" s="415"/>
      <c r="ASN2" s="415"/>
      <c r="ASO2" s="415"/>
      <c r="ASP2" s="415"/>
      <c r="ASQ2" s="415"/>
      <c r="ASR2" s="415"/>
      <c r="ASS2" s="415"/>
      <c r="AST2" s="415"/>
      <c r="ASU2" s="415"/>
      <c r="ASV2" s="415"/>
      <c r="ASW2" s="415"/>
      <c r="ASX2" s="415"/>
      <c r="ASY2" s="415"/>
      <c r="ASZ2" s="415"/>
      <c r="ATA2" s="415"/>
      <c r="ATB2" s="415"/>
      <c r="ATC2" s="415"/>
      <c r="ATD2" s="415"/>
      <c r="ATE2" s="415"/>
      <c r="ATF2" s="415"/>
      <c r="ATG2" s="415"/>
      <c r="ATH2" s="415"/>
      <c r="ATI2" s="415"/>
      <c r="ATJ2" s="415"/>
      <c r="ATK2" s="415"/>
      <c r="ATL2" s="415"/>
      <c r="ATM2" s="415"/>
      <c r="ATN2" s="415"/>
      <c r="ATO2" s="415"/>
      <c r="ATP2" s="415"/>
      <c r="ATQ2" s="415"/>
      <c r="ATR2" s="415"/>
      <c r="ATS2" s="415"/>
      <c r="ATT2" s="415"/>
      <c r="ATU2" s="415"/>
      <c r="ATV2" s="415"/>
      <c r="ATW2" s="415"/>
      <c r="ATX2" s="415"/>
      <c r="ATY2" s="415"/>
      <c r="ATZ2" s="415"/>
      <c r="AUA2" s="415"/>
      <c r="AUB2" s="415"/>
      <c r="AUC2" s="415"/>
      <c r="AUD2" s="415"/>
      <c r="AUE2" s="415"/>
      <c r="AUF2" s="415"/>
      <c r="AUG2" s="415"/>
      <c r="AUH2" s="415"/>
      <c r="AUI2" s="415"/>
      <c r="AUJ2" s="415"/>
      <c r="AUK2" s="415"/>
      <c r="AUL2" s="415"/>
      <c r="AUM2" s="415"/>
      <c r="AUN2" s="415"/>
      <c r="AUO2" s="415"/>
      <c r="AUP2" s="415"/>
      <c r="AUQ2" s="415"/>
      <c r="AUR2" s="415"/>
      <c r="AUS2" s="415"/>
      <c r="AUT2" s="415"/>
      <c r="AUU2" s="415"/>
      <c r="AUV2" s="415"/>
      <c r="AUW2" s="415"/>
      <c r="AUX2" s="415"/>
      <c r="AUY2" s="415"/>
      <c r="AUZ2" s="415"/>
      <c r="AVA2" s="415"/>
      <c r="AVB2" s="415"/>
      <c r="AVC2" s="415"/>
      <c r="AVD2" s="415"/>
      <c r="AVE2" s="415"/>
      <c r="AVF2" s="415"/>
      <c r="AVG2" s="415"/>
      <c r="AVH2" s="415"/>
      <c r="AVI2" s="415"/>
      <c r="AVJ2" s="415"/>
      <c r="AVK2" s="415"/>
      <c r="AVL2" s="415"/>
      <c r="AVM2" s="415"/>
      <c r="AVN2" s="415"/>
      <c r="AVO2" s="415"/>
      <c r="AVP2" s="415"/>
      <c r="AVQ2" s="415"/>
      <c r="AVR2" s="415"/>
      <c r="AVS2" s="415"/>
      <c r="AVT2" s="415"/>
      <c r="AVU2" s="415"/>
      <c r="AVV2" s="415"/>
      <c r="AVW2" s="415"/>
      <c r="AVX2" s="415"/>
      <c r="AVY2" s="415"/>
      <c r="AVZ2" s="415"/>
      <c r="AWA2" s="415"/>
      <c r="AWB2" s="415"/>
      <c r="AWC2" s="415"/>
      <c r="AWD2" s="415"/>
      <c r="AWE2" s="415"/>
      <c r="AWF2" s="415"/>
      <c r="AWG2" s="415"/>
      <c r="AWH2" s="415"/>
      <c r="AWI2" s="415"/>
      <c r="AWJ2" s="415"/>
      <c r="AWK2" s="415"/>
      <c r="AWL2" s="415"/>
      <c r="AWM2" s="415"/>
      <c r="AWN2" s="415"/>
      <c r="AWO2" s="415"/>
      <c r="AWP2" s="415"/>
      <c r="AWQ2" s="415"/>
      <c r="AWR2" s="415"/>
      <c r="AWS2" s="415"/>
      <c r="AWT2" s="415"/>
      <c r="AWU2" s="415"/>
      <c r="AWV2" s="415"/>
      <c r="AWW2" s="415"/>
      <c r="AWX2" s="415"/>
      <c r="AWY2" s="415"/>
      <c r="AWZ2" s="415"/>
      <c r="AXA2" s="415"/>
      <c r="AXB2" s="415"/>
      <c r="AXC2" s="415"/>
      <c r="AXD2" s="415"/>
      <c r="AXE2" s="415"/>
      <c r="AXF2" s="415"/>
      <c r="AXG2" s="415"/>
      <c r="AXH2" s="415"/>
      <c r="AXI2" s="415"/>
      <c r="AXJ2" s="415"/>
      <c r="AXK2" s="415"/>
      <c r="AXL2" s="415"/>
      <c r="AXM2" s="415"/>
      <c r="AXN2" s="415"/>
      <c r="AXO2" s="415"/>
      <c r="AXP2" s="415"/>
      <c r="AXQ2" s="415"/>
      <c r="AXR2" s="415"/>
      <c r="AXS2" s="415"/>
      <c r="AXT2" s="415"/>
      <c r="AXU2" s="415"/>
      <c r="AXV2" s="415"/>
      <c r="AXW2" s="415"/>
      <c r="AXX2" s="415"/>
      <c r="AXY2" s="415"/>
      <c r="AXZ2" s="415"/>
      <c r="AYA2" s="415"/>
      <c r="AYB2" s="415"/>
      <c r="AYC2" s="415"/>
      <c r="AYD2" s="415"/>
      <c r="AYE2" s="415"/>
      <c r="AYF2" s="415"/>
      <c r="AYG2" s="415"/>
      <c r="AYH2" s="415"/>
      <c r="AYI2" s="415"/>
      <c r="AYJ2" s="415"/>
      <c r="AYK2" s="415"/>
      <c r="AYL2" s="415"/>
      <c r="AYM2" s="415"/>
      <c r="AYN2" s="415"/>
      <c r="AYO2" s="415"/>
      <c r="AYP2" s="415"/>
      <c r="AYQ2" s="415"/>
      <c r="AYR2" s="415"/>
      <c r="AYS2" s="415"/>
      <c r="AYT2" s="415"/>
      <c r="AYU2" s="415"/>
      <c r="AYV2" s="415"/>
      <c r="AYW2" s="415"/>
      <c r="AYX2" s="415"/>
      <c r="AYY2" s="415"/>
      <c r="AYZ2" s="415"/>
      <c r="AZA2" s="415"/>
      <c r="AZB2" s="415"/>
      <c r="AZC2" s="415"/>
      <c r="AZD2" s="415"/>
      <c r="AZE2" s="415"/>
      <c r="AZF2" s="415"/>
      <c r="AZG2" s="415"/>
      <c r="AZH2" s="415"/>
      <c r="AZI2" s="415"/>
      <c r="AZJ2" s="415"/>
      <c r="AZK2" s="415"/>
      <c r="AZL2" s="415"/>
      <c r="AZM2" s="415"/>
      <c r="AZN2" s="415"/>
      <c r="AZO2" s="415"/>
      <c r="AZP2" s="415"/>
      <c r="AZQ2" s="415"/>
      <c r="AZR2" s="415"/>
      <c r="AZS2" s="415"/>
      <c r="AZT2" s="415"/>
      <c r="AZU2" s="415"/>
      <c r="AZV2" s="415"/>
      <c r="AZW2" s="415"/>
      <c r="AZX2" s="415"/>
      <c r="AZY2" s="415"/>
      <c r="AZZ2" s="415"/>
      <c r="BAA2" s="415"/>
      <c r="BAB2" s="415"/>
      <c r="BAC2" s="415"/>
      <c r="BAD2" s="415"/>
      <c r="BAE2" s="415"/>
      <c r="BAF2" s="415"/>
      <c r="BAG2" s="415"/>
      <c r="BAH2" s="415"/>
      <c r="BAI2" s="415"/>
      <c r="BAJ2" s="415"/>
      <c r="BAK2" s="415"/>
      <c r="BAL2" s="415"/>
      <c r="BAM2" s="415"/>
      <c r="BAN2" s="415"/>
      <c r="BAO2" s="415"/>
      <c r="BAP2" s="415"/>
      <c r="BAQ2" s="415"/>
      <c r="BAR2" s="415"/>
      <c r="BAS2" s="415"/>
      <c r="BAT2" s="415"/>
      <c r="BAU2" s="415"/>
      <c r="BAV2" s="415"/>
      <c r="BAW2" s="415"/>
      <c r="BAX2" s="415"/>
      <c r="BAY2" s="415"/>
      <c r="BAZ2" s="415"/>
      <c r="BBA2" s="415"/>
      <c r="BBB2" s="415"/>
      <c r="BBC2" s="415"/>
      <c r="BBD2" s="415"/>
      <c r="BBE2" s="415"/>
      <c r="BBF2" s="415"/>
      <c r="BBG2" s="415"/>
      <c r="BBH2" s="415"/>
      <c r="BBI2" s="415"/>
      <c r="BBJ2" s="415"/>
      <c r="BBK2" s="415"/>
      <c r="BBL2" s="415"/>
      <c r="BBM2" s="415"/>
      <c r="BBN2" s="415"/>
      <c r="BBO2" s="415"/>
      <c r="BBP2" s="415"/>
      <c r="BBQ2" s="415"/>
      <c r="BBR2" s="415"/>
      <c r="BBS2" s="415"/>
      <c r="BBT2" s="415"/>
      <c r="BBU2" s="415"/>
      <c r="BBV2" s="415"/>
      <c r="BBW2" s="415"/>
      <c r="BBX2" s="415"/>
      <c r="BBY2" s="415"/>
      <c r="BBZ2" s="415"/>
      <c r="BCA2" s="415"/>
      <c r="BCB2" s="415"/>
      <c r="BCC2" s="415"/>
      <c r="BCD2" s="415"/>
      <c r="BCE2" s="415"/>
      <c r="BCF2" s="415"/>
      <c r="BCG2" s="415"/>
      <c r="BCH2" s="415"/>
      <c r="BCI2" s="415"/>
      <c r="BCJ2" s="415"/>
      <c r="BCK2" s="415"/>
      <c r="BCL2" s="415"/>
      <c r="BCM2" s="415"/>
      <c r="BCN2" s="415"/>
      <c r="BCO2" s="415"/>
      <c r="BCP2" s="415"/>
      <c r="BCQ2" s="415"/>
      <c r="BCR2" s="415"/>
      <c r="BCS2" s="415"/>
      <c r="BCT2" s="415"/>
      <c r="BCU2" s="415"/>
      <c r="BCV2" s="415"/>
      <c r="BCW2" s="415"/>
      <c r="BCX2" s="415"/>
      <c r="BCY2" s="415"/>
      <c r="BCZ2" s="415"/>
      <c r="BDA2" s="415"/>
      <c r="BDB2" s="415"/>
      <c r="BDC2" s="415"/>
      <c r="BDD2" s="415"/>
      <c r="BDE2" s="415"/>
      <c r="BDF2" s="415"/>
      <c r="BDG2" s="415"/>
      <c r="BDH2" s="415"/>
      <c r="BDI2" s="415"/>
      <c r="BDJ2" s="415"/>
      <c r="BDK2" s="415"/>
      <c r="BDL2" s="415"/>
      <c r="BDM2" s="415"/>
      <c r="BDN2" s="415"/>
      <c r="BDO2" s="415"/>
      <c r="BDP2" s="415"/>
      <c r="BDQ2" s="415"/>
      <c r="BDR2" s="415"/>
      <c r="BDS2" s="415"/>
      <c r="BDT2" s="415"/>
      <c r="BDU2" s="415"/>
      <c r="BDV2" s="415"/>
      <c r="BDW2" s="415"/>
      <c r="BDX2" s="415"/>
      <c r="BDY2" s="415"/>
      <c r="BDZ2" s="415"/>
      <c r="BEA2" s="415"/>
      <c r="BEB2" s="415"/>
      <c r="BEC2" s="415"/>
      <c r="BED2" s="415"/>
      <c r="BEE2" s="415"/>
      <c r="BEF2" s="415"/>
      <c r="BEG2" s="415"/>
      <c r="BEH2" s="415"/>
      <c r="BEI2" s="415"/>
      <c r="BEJ2" s="415"/>
      <c r="BEK2" s="415"/>
      <c r="BEL2" s="415"/>
      <c r="BEM2" s="415"/>
      <c r="BEN2" s="415"/>
      <c r="BEO2" s="415"/>
      <c r="BEP2" s="415"/>
      <c r="BEQ2" s="415"/>
      <c r="BER2" s="415"/>
      <c r="BES2" s="415"/>
      <c r="BET2" s="415"/>
      <c r="BEU2" s="415"/>
      <c r="BEV2" s="415"/>
      <c r="BEW2" s="415"/>
      <c r="BEX2" s="415"/>
      <c r="BEY2" s="415"/>
      <c r="BEZ2" s="415"/>
      <c r="BFA2" s="415"/>
      <c r="BFB2" s="415"/>
      <c r="BFC2" s="415"/>
      <c r="BFD2" s="415"/>
      <c r="BFE2" s="415"/>
      <c r="BFF2" s="415"/>
      <c r="BFG2" s="415"/>
      <c r="BFH2" s="415"/>
      <c r="BFI2" s="415"/>
      <c r="BFJ2" s="415"/>
      <c r="BFK2" s="415"/>
      <c r="BFL2" s="415"/>
      <c r="BFM2" s="415"/>
      <c r="BFN2" s="415"/>
      <c r="BFO2" s="415"/>
      <c r="BFP2" s="415"/>
      <c r="BFQ2" s="415"/>
      <c r="BFR2" s="415"/>
      <c r="BFS2" s="415"/>
      <c r="BFT2" s="415"/>
      <c r="BFU2" s="415"/>
      <c r="BFV2" s="415"/>
      <c r="BFW2" s="415"/>
      <c r="BFX2" s="415"/>
      <c r="BFY2" s="415"/>
      <c r="BFZ2" s="415"/>
      <c r="BGA2" s="415"/>
      <c r="BGB2" s="415"/>
      <c r="BGC2" s="415"/>
      <c r="BGD2" s="415"/>
      <c r="BGE2" s="415"/>
      <c r="BGF2" s="415"/>
      <c r="BGG2" s="415"/>
      <c r="BGH2" s="415"/>
      <c r="BGI2" s="415"/>
      <c r="BGJ2" s="415"/>
      <c r="BGK2" s="415"/>
      <c r="BGL2" s="415"/>
      <c r="BGM2" s="415"/>
      <c r="BGN2" s="415"/>
      <c r="BGO2" s="415"/>
      <c r="BGP2" s="415"/>
      <c r="BGQ2" s="415"/>
      <c r="BGR2" s="415"/>
      <c r="BGS2" s="415"/>
      <c r="BGT2" s="415"/>
      <c r="BGU2" s="415"/>
      <c r="BGV2" s="415"/>
      <c r="BGW2" s="415"/>
      <c r="BGX2" s="415"/>
      <c r="BGY2" s="415"/>
      <c r="BGZ2" s="415"/>
      <c r="BHA2" s="415"/>
      <c r="BHB2" s="415"/>
      <c r="BHC2" s="415"/>
      <c r="BHD2" s="415"/>
      <c r="BHE2" s="415"/>
      <c r="BHF2" s="415"/>
      <c r="BHG2" s="415"/>
      <c r="BHH2" s="415"/>
      <c r="BHI2" s="415"/>
      <c r="BHJ2" s="415"/>
      <c r="BHK2" s="415"/>
      <c r="BHL2" s="415"/>
      <c r="BHM2" s="415"/>
      <c r="BHN2" s="415"/>
      <c r="BHO2" s="415"/>
      <c r="BHP2" s="415"/>
      <c r="BHQ2" s="415"/>
      <c r="BHR2" s="415"/>
      <c r="BHS2" s="415"/>
      <c r="BHT2" s="415"/>
      <c r="BHU2" s="415"/>
      <c r="BHV2" s="415"/>
      <c r="BHW2" s="415"/>
      <c r="BHX2" s="415"/>
      <c r="BHY2" s="415"/>
      <c r="BHZ2" s="415"/>
      <c r="BIA2" s="415"/>
      <c r="BIB2" s="415"/>
      <c r="BIC2" s="415"/>
      <c r="BID2" s="415"/>
      <c r="BIE2" s="415"/>
      <c r="BIF2" s="415"/>
      <c r="BIG2" s="415"/>
      <c r="BIH2" s="415"/>
      <c r="BII2" s="415"/>
      <c r="BIJ2" s="415"/>
      <c r="BIK2" s="415"/>
      <c r="BIL2" s="415"/>
      <c r="BIM2" s="415"/>
      <c r="BIN2" s="415"/>
      <c r="BIO2" s="415"/>
      <c r="BIP2" s="415"/>
      <c r="BIQ2" s="415"/>
      <c r="BIR2" s="415"/>
      <c r="BIS2" s="415"/>
      <c r="BIT2" s="415"/>
      <c r="BIU2" s="415"/>
      <c r="BIV2" s="415"/>
      <c r="BIW2" s="415"/>
      <c r="BIX2" s="415"/>
      <c r="BIY2" s="415"/>
      <c r="BIZ2" s="415"/>
      <c r="BJA2" s="415"/>
      <c r="BJB2" s="415"/>
      <c r="BJC2" s="415"/>
      <c r="BJD2" s="415"/>
      <c r="BJE2" s="415"/>
      <c r="BJF2" s="415"/>
      <c r="BJG2" s="415"/>
      <c r="BJH2" s="415"/>
      <c r="BJI2" s="415"/>
      <c r="BJJ2" s="415"/>
      <c r="BJK2" s="415"/>
      <c r="BJL2" s="415"/>
      <c r="BJM2" s="415"/>
      <c r="BJN2" s="415"/>
      <c r="BJO2" s="415"/>
      <c r="BJP2" s="415"/>
      <c r="BJQ2" s="415"/>
      <c r="BJR2" s="415"/>
      <c r="BJS2" s="415"/>
      <c r="BJT2" s="415"/>
      <c r="BJU2" s="415"/>
      <c r="BJV2" s="415"/>
      <c r="BJW2" s="415"/>
      <c r="BJX2" s="415"/>
      <c r="BJY2" s="415"/>
      <c r="BJZ2" s="415"/>
      <c r="BKA2" s="415"/>
      <c r="BKB2" s="415"/>
      <c r="BKC2" s="415"/>
      <c r="BKD2" s="415"/>
      <c r="BKE2" s="415"/>
      <c r="BKF2" s="415"/>
      <c r="BKG2" s="415"/>
      <c r="BKH2" s="415"/>
      <c r="BKI2" s="415"/>
      <c r="BKJ2" s="415"/>
      <c r="BKK2" s="415"/>
      <c r="BKL2" s="415"/>
      <c r="BKM2" s="415"/>
      <c r="BKN2" s="415"/>
      <c r="BKO2" s="415"/>
      <c r="BKP2" s="415"/>
      <c r="BKQ2" s="415"/>
      <c r="BKR2" s="415"/>
      <c r="BKS2" s="415"/>
      <c r="BKT2" s="415"/>
      <c r="BKU2" s="415"/>
      <c r="BKV2" s="415"/>
      <c r="BKW2" s="415"/>
      <c r="BKX2" s="415"/>
      <c r="BKY2" s="415"/>
      <c r="BKZ2" s="415"/>
      <c r="BLA2" s="415"/>
      <c r="BLB2" s="415"/>
      <c r="BLC2" s="415"/>
      <c r="BLD2" s="415"/>
      <c r="BLE2" s="415"/>
      <c r="BLF2" s="415"/>
      <c r="BLG2" s="415"/>
      <c r="BLH2" s="415"/>
      <c r="BLI2" s="415"/>
      <c r="BLJ2" s="415"/>
      <c r="BLK2" s="415"/>
      <c r="BLL2" s="415"/>
      <c r="BLM2" s="415"/>
      <c r="BLN2" s="415"/>
      <c r="BLO2" s="415"/>
      <c r="BLP2" s="415"/>
      <c r="BLQ2" s="415"/>
      <c r="BLR2" s="415"/>
      <c r="BLS2" s="415"/>
      <c r="BLT2" s="415"/>
      <c r="BLU2" s="415"/>
      <c r="BLV2" s="415"/>
      <c r="BLW2" s="415"/>
      <c r="BLX2" s="415"/>
      <c r="BLY2" s="415"/>
      <c r="BLZ2" s="415"/>
      <c r="BMA2" s="415"/>
      <c r="BMB2" s="415"/>
      <c r="BMC2" s="415"/>
      <c r="BMD2" s="415"/>
      <c r="BME2" s="415"/>
      <c r="BMF2" s="415"/>
      <c r="BMG2" s="415"/>
      <c r="BMH2" s="415"/>
      <c r="BMI2" s="415"/>
      <c r="BMJ2" s="415"/>
      <c r="BMK2" s="415"/>
      <c r="BML2" s="415"/>
      <c r="BMM2" s="415"/>
      <c r="BMN2" s="415"/>
      <c r="BMO2" s="415"/>
      <c r="BMP2" s="415"/>
      <c r="BMQ2" s="415"/>
      <c r="BMR2" s="415"/>
      <c r="BMS2" s="415"/>
      <c r="BMT2" s="415"/>
      <c r="BMU2" s="415"/>
      <c r="BMV2" s="415"/>
      <c r="BMW2" s="415"/>
      <c r="BMX2" s="415"/>
      <c r="BMY2" s="415"/>
      <c r="BMZ2" s="415"/>
      <c r="BNA2" s="415"/>
      <c r="BNB2" s="415"/>
      <c r="BNC2" s="415"/>
      <c r="BND2" s="415"/>
      <c r="BNE2" s="415"/>
      <c r="BNF2" s="415"/>
      <c r="BNG2" s="415"/>
      <c r="BNH2" s="415"/>
      <c r="BNI2" s="415"/>
      <c r="BNJ2" s="415"/>
      <c r="BNK2" s="415"/>
      <c r="BNL2" s="415"/>
      <c r="BNM2" s="415"/>
      <c r="BNN2" s="415"/>
      <c r="BNO2" s="415"/>
      <c r="BNP2" s="415"/>
      <c r="BNQ2" s="415"/>
      <c r="BNR2" s="415"/>
      <c r="BNS2" s="415"/>
      <c r="BNT2" s="415"/>
      <c r="BNU2" s="415"/>
      <c r="BNV2" s="415"/>
      <c r="BNW2" s="415"/>
      <c r="BNX2" s="415"/>
      <c r="BNY2" s="415"/>
      <c r="BNZ2" s="415"/>
      <c r="BOA2" s="415"/>
      <c r="BOB2" s="415"/>
      <c r="BOC2" s="415"/>
      <c r="BOD2" s="415"/>
      <c r="BOE2" s="415"/>
      <c r="BOF2" s="415"/>
      <c r="BOG2" s="415"/>
      <c r="BOH2" s="415"/>
      <c r="BOI2" s="415"/>
      <c r="BOJ2" s="415"/>
      <c r="BOK2" s="415"/>
      <c r="BOL2" s="415"/>
      <c r="BOM2" s="415"/>
      <c r="BON2" s="415"/>
      <c r="BOO2" s="415"/>
      <c r="BOP2" s="415"/>
      <c r="BOQ2" s="415"/>
      <c r="BOR2" s="415"/>
      <c r="BOS2" s="415"/>
      <c r="BOT2" s="415"/>
      <c r="BOU2" s="415"/>
      <c r="BOV2" s="415"/>
      <c r="BOW2" s="415"/>
      <c r="BOX2" s="415"/>
      <c r="BOY2" s="415"/>
      <c r="BOZ2" s="415"/>
      <c r="BPA2" s="415"/>
      <c r="BPB2" s="415"/>
      <c r="BPC2" s="415"/>
      <c r="BPD2" s="415"/>
      <c r="BPE2" s="415"/>
      <c r="BPF2" s="415"/>
      <c r="BPG2" s="415"/>
      <c r="BPH2" s="415"/>
      <c r="BPI2" s="415"/>
      <c r="BPJ2" s="415"/>
      <c r="BPK2" s="415"/>
      <c r="BPL2" s="415"/>
      <c r="BPM2" s="415"/>
      <c r="BPN2" s="415"/>
      <c r="BPO2" s="415"/>
      <c r="BPP2" s="415"/>
      <c r="BPQ2" s="415"/>
      <c r="BPR2" s="415"/>
      <c r="BPS2" s="415"/>
      <c r="BPT2" s="415"/>
      <c r="BPU2" s="415"/>
      <c r="BPV2" s="415"/>
      <c r="BPW2" s="415"/>
      <c r="BPX2" s="415"/>
      <c r="BPY2" s="415"/>
      <c r="BPZ2" s="415"/>
      <c r="BQA2" s="415"/>
      <c r="BQB2" s="415"/>
      <c r="BQC2" s="415"/>
      <c r="BQD2" s="415"/>
      <c r="BQE2" s="415"/>
      <c r="BQF2" s="415"/>
      <c r="BQG2" s="415"/>
      <c r="BQH2" s="415"/>
      <c r="BQI2" s="415"/>
      <c r="BQJ2" s="415"/>
      <c r="BQK2" s="415"/>
      <c r="BQL2" s="415"/>
      <c r="BQM2" s="415"/>
      <c r="BQN2" s="415"/>
      <c r="BQO2" s="415"/>
      <c r="BQP2" s="415"/>
      <c r="BQQ2" s="415"/>
      <c r="BQR2" s="415"/>
      <c r="BQS2" s="415"/>
      <c r="BQT2" s="415"/>
      <c r="BQU2" s="415"/>
      <c r="BQV2" s="415"/>
      <c r="BQW2" s="415"/>
      <c r="BQX2" s="415"/>
      <c r="BQY2" s="415"/>
      <c r="BQZ2" s="415"/>
      <c r="BRA2" s="415"/>
      <c r="BRB2" s="415"/>
      <c r="BRC2" s="415"/>
      <c r="BRD2" s="415"/>
      <c r="BRE2" s="415"/>
      <c r="BRF2" s="415"/>
      <c r="BRG2" s="415"/>
      <c r="BRH2" s="415"/>
      <c r="BRI2" s="415"/>
      <c r="BRJ2" s="415"/>
      <c r="BRK2" s="415"/>
      <c r="BRL2" s="415"/>
      <c r="BRM2" s="415"/>
      <c r="BRN2" s="415"/>
      <c r="BRO2" s="415"/>
      <c r="BRP2" s="415"/>
      <c r="BRQ2" s="415"/>
      <c r="BRR2" s="415"/>
      <c r="BRS2" s="415"/>
      <c r="BRT2" s="415"/>
      <c r="BRU2" s="415"/>
      <c r="BRV2" s="415"/>
      <c r="BRW2" s="415"/>
      <c r="BRX2" s="415"/>
      <c r="BRY2" s="415"/>
      <c r="BRZ2" s="415"/>
      <c r="BSA2" s="415"/>
      <c r="BSB2" s="415"/>
      <c r="BSC2" s="415"/>
      <c r="BSD2" s="415"/>
      <c r="BSE2" s="415"/>
      <c r="BSF2" s="415"/>
      <c r="BSG2" s="415"/>
      <c r="BSH2" s="415"/>
      <c r="BSI2" s="415"/>
      <c r="BSJ2" s="415"/>
      <c r="BSK2" s="415"/>
      <c r="BSL2" s="415"/>
      <c r="BSM2" s="415"/>
      <c r="BSN2" s="415"/>
      <c r="BSO2" s="415"/>
      <c r="BSP2" s="415"/>
      <c r="BSQ2" s="415"/>
      <c r="BSR2" s="415"/>
      <c r="BSS2" s="415"/>
      <c r="BST2" s="415"/>
      <c r="BSU2" s="415"/>
      <c r="BSV2" s="415"/>
      <c r="BSW2" s="415"/>
      <c r="BSX2" s="415"/>
      <c r="BSY2" s="415"/>
      <c r="BSZ2" s="415"/>
      <c r="BTA2" s="415"/>
      <c r="BTB2" s="415"/>
      <c r="BTC2" s="415"/>
      <c r="BTD2" s="415"/>
      <c r="BTE2" s="415"/>
      <c r="BTF2" s="415"/>
      <c r="BTG2" s="415"/>
      <c r="BTH2" s="415"/>
      <c r="BTI2" s="415"/>
      <c r="BTJ2" s="415"/>
      <c r="BTK2" s="415"/>
      <c r="BTL2" s="415"/>
      <c r="BTM2" s="415"/>
      <c r="BTN2" s="415"/>
      <c r="BTO2" s="415"/>
      <c r="BTP2" s="415"/>
      <c r="BTQ2" s="415"/>
      <c r="BTR2" s="415"/>
      <c r="BTS2" s="415"/>
      <c r="BTT2" s="415"/>
      <c r="BTU2" s="415"/>
      <c r="BTV2" s="415"/>
      <c r="BTW2" s="415"/>
      <c r="BTX2" s="415"/>
      <c r="BTY2" s="415"/>
      <c r="BTZ2" s="415"/>
      <c r="BUA2" s="415"/>
      <c r="BUB2" s="415"/>
      <c r="BUC2" s="415"/>
      <c r="BUD2" s="415"/>
      <c r="BUE2" s="415"/>
      <c r="BUF2" s="415"/>
      <c r="BUG2" s="415"/>
      <c r="BUH2" s="415"/>
      <c r="BUI2" s="415"/>
      <c r="BUJ2" s="415"/>
      <c r="BUK2" s="415"/>
      <c r="BUL2" s="415"/>
      <c r="BUM2" s="415"/>
      <c r="BUN2" s="415"/>
      <c r="BUO2" s="415"/>
      <c r="BUP2" s="415"/>
      <c r="BUQ2" s="415"/>
      <c r="BUR2" s="415"/>
      <c r="BUS2" s="415"/>
      <c r="BUT2" s="415"/>
      <c r="BUU2" s="415"/>
      <c r="BUV2" s="415"/>
      <c r="BUW2" s="415"/>
      <c r="BUX2" s="415"/>
      <c r="BUY2" s="415"/>
      <c r="BUZ2" s="415"/>
      <c r="BVA2" s="415"/>
      <c r="BVB2" s="415"/>
      <c r="BVC2" s="415"/>
      <c r="BVD2" s="415"/>
      <c r="BVE2" s="415"/>
      <c r="BVF2" s="415"/>
      <c r="BVG2" s="415"/>
      <c r="BVH2" s="415"/>
      <c r="BVI2" s="415"/>
      <c r="BVJ2" s="415"/>
      <c r="BVK2" s="415"/>
      <c r="BVL2" s="415"/>
      <c r="BVM2" s="415"/>
      <c r="BVN2" s="415"/>
      <c r="BVO2" s="415"/>
      <c r="BVP2" s="415"/>
      <c r="BVQ2" s="415"/>
      <c r="BVR2" s="415"/>
      <c r="BVS2" s="415"/>
      <c r="BVT2" s="415"/>
      <c r="BVU2" s="415"/>
      <c r="BVV2" s="415"/>
      <c r="BVW2" s="415"/>
      <c r="BVX2" s="415"/>
      <c r="BVY2" s="415"/>
      <c r="BVZ2" s="415"/>
      <c r="BWA2" s="415"/>
      <c r="BWB2" s="415"/>
      <c r="BWC2" s="415"/>
      <c r="BWD2" s="415"/>
      <c r="BWE2" s="415"/>
      <c r="BWF2" s="415"/>
      <c r="BWG2" s="415"/>
      <c r="BWH2" s="415"/>
      <c r="BWI2" s="415"/>
      <c r="BWJ2" s="415"/>
      <c r="BWK2" s="415"/>
      <c r="BWL2" s="415"/>
      <c r="BWM2" s="415"/>
      <c r="BWN2" s="415"/>
      <c r="BWO2" s="415"/>
      <c r="BWP2" s="415"/>
      <c r="BWQ2" s="415"/>
      <c r="BWR2" s="415"/>
      <c r="BWS2" s="415"/>
      <c r="BWT2" s="415"/>
      <c r="BWU2" s="415"/>
      <c r="BWV2" s="415"/>
      <c r="BWW2" s="415"/>
      <c r="BWX2" s="415"/>
      <c r="BWY2" s="415"/>
      <c r="BWZ2" s="415"/>
      <c r="BXA2" s="415"/>
      <c r="BXB2" s="415"/>
      <c r="BXC2" s="415"/>
      <c r="BXD2" s="415"/>
      <c r="BXE2" s="415"/>
      <c r="BXF2" s="415"/>
      <c r="BXG2" s="415"/>
      <c r="BXH2" s="415"/>
      <c r="BXI2" s="415"/>
      <c r="BXJ2" s="415"/>
      <c r="BXK2" s="415"/>
      <c r="BXL2" s="415"/>
      <c r="BXM2" s="415"/>
      <c r="BXN2" s="415"/>
      <c r="BXO2" s="415"/>
      <c r="BXP2" s="415"/>
      <c r="BXQ2" s="415"/>
      <c r="BXR2" s="415"/>
      <c r="BXS2" s="415"/>
      <c r="BXT2" s="415"/>
      <c r="BXU2" s="415"/>
      <c r="BXV2" s="415"/>
      <c r="BXW2" s="415"/>
      <c r="BXX2" s="415"/>
      <c r="BXY2" s="415"/>
      <c r="BXZ2" s="415"/>
      <c r="BYA2" s="415"/>
      <c r="BYB2" s="415"/>
      <c r="BYC2" s="415"/>
      <c r="BYD2" s="415"/>
      <c r="BYE2" s="415"/>
      <c r="BYF2" s="415"/>
      <c r="BYG2" s="415"/>
      <c r="BYH2" s="415"/>
      <c r="BYI2" s="415"/>
      <c r="BYJ2" s="415"/>
      <c r="BYK2" s="415"/>
      <c r="BYL2" s="415"/>
      <c r="BYM2" s="415"/>
      <c r="BYN2" s="415"/>
      <c r="BYO2" s="415"/>
      <c r="BYP2" s="415"/>
      <c r="BYQ2" s="415"/>
      <c r="BYR2" s="415"/>
      <c r="BYS2" s="415"/>
      <c r="BYT2" s="415"/>
      <c r="BYU2" s="415"/>
      <c r="BYV2" s="415"/>
      <c r="BYW2" s="415"/>
      <c r="BYX2" s="415"/>
      <c r="BYY2" s="415"/>
      <c r="BYZ2" s="415"/>
      <c r="BZA2" s="415"/>
      <c r="BZB2" s="415"/>
      <c r="BZC2" s="415"/>
      <c r="BZD2" s="415"/>
      <c r="BZE2" s="415"/>
      <c r="BZF2" s="415"/>
      <c r="BZG2" s="415"/>
      <c r="BZH2" s="415"/>
      <c r="BZI2" s="415"/>
      <c r="BZJ2" s="415"/>
      <c r="BZK2" s="415"/>
      <c r="BZL2" s="415"/>
      <c r="BZM2" s="415"/>
      <c r="BZN2" s="415"/>
      <c r="BZO2" s="415"/>
      <c r="BZP2" s="415"/>
      <c r="BZQ2" s="415"/>
      <c r="BZR2" s="415"/>
      <c r="BZS2" s="415"/>
      <c r="BZT2" s="415"/>
      <c r="BZU2" s="415"/>
      <c r="BZV2" s="415"/>
      <c r="BZW2" s="415"/>
      <c r="BZX2" s="415"/>
      <c r="BZY2" s="415"/>
      <c r="BZZ2" s="415"/>
      <c r="CAA2" s="415"/>
      <c r="CAB2" s="415"/>
      <c r="CAC2" s="415"/>
      <c r="CAD2" s="415"/>
      <c r="CAE2" s="415"/>
      <c r="CAF2" s="415"/>
      <c r="CAG2" s="415"/>
      <c r="CAH2" s="415"/>
      <c r="CAI2" s="415"/>
      <c r="CAJ2" s="415"/>
      <c r="CAK2" s="415"/>
      <c r="CAL2" s="415"/>
      <c r="CAM2" s="415"/>
      <c r="CAN2" s="415"/>
      <c r="CAO2" s="415"/>
      <c r="CAP2" s="415"/>
      <c r="CAQ2" s="415"/>
      <c r="CAR2" s="415"/>
      <c r="CAS2" s="415"/>
      <c r="CAT2" s="415"/>
      <c r="CAU2" s="415"/>
      <c r="CAV2" s="415"/>
      <c r="CAW2" s="415"/>
      <c r="CAX2" s="415"/>
      <c r="CAY2" s="415"/>
      <c r="CAZ2" s="415"/>
      <c r="CBA2" s="415"/>
      <c r="CBB2" s="415"/>
      <c r="CBC2" s="415"/>
      <c r="CBD2" s="415"/>
      <c r="CBE2" s="415"/>
      <c r="CBF2" s="415"/>
      <c r="CBG2" s="415"/>
      <c r="CBH2" s="415"/>
      <c r="CBI2" s="415"/>
      <c r="CBJ2" s="415"/>
      <c r="CBK2" s="415"/>
      <c r="CBL2" s="415"/>
      <c r="CBM2" s="415"/>
      <c r="CBN2" s="415"/>
      <c r="CBO2" s="415"/>
      <c r="CBP2" s="415"/>
      <c r="CBQ2" s="415"/>
      <c r="CBR2" s="415"/>
      <c r="CBS2" s="415"/>
      <c r="CBT2" s="415"/>
      <c r="CBU2" s="415"/>
      <c r="CBV2" s="415"/>
      <c r="CBW2" s="415"/>
      <c r="CBX2" s="415"/>
      <c r="CBY2" s="415"/>
      <c r="CBZ2" s="415"/>
      <c r="CCA2" s="415"/>
      <c r="CCB2" s="415"/>
      <c r="CCC2" s="415"/>
      <c r="CCD2" s="415"/>
      <c r="CCE2" s="415"/>
      <c r="CCF2" s="415"/>
      <c r="CCG2" s="415"/>
      <c r="CCH2" s="415"/>
      <c r="CCI2" s="415"/>
      <c r="CCJ2" s="415"/>
      <c r="CCK2" s="415"/>
      <c r="CCL2" s="415"/>
      <c r="CCM2" s="415"/>
      <c r="CCN2" s="415"/>
      <c r="CCO2" s="415"/>
      <c r="CCP2" s="415"/>
      <c r="CCQ2" s="415"/>
      <c r="CCR2" s="415"/>
      <c r="CCS2" s="415"/>
      <c r="CCT2" s="415"/>
      <c r="CCU2" s="415"/>
      <c r="CCV2" s="415"/>
      <c r="CCW2" s="415"/>
      <c r="CCX2" s="415"/>
      <c r="CCY2" s="415"/>
      <c r="CCZ2" s="415"/>
      <c r="CDA2" s="415"/>
      <c r="CDB2" s="415"/>
      <c r="CDC2" s="415"/>
      <c r="CDD2" s="415"/>
      <c r="CDE2" s="415"/>
      <c r="CDF2" s="415"/>
      <c r="CDG2" s="415"/>
      <c r="CDH2" s="415"/>
      <c r="CDI2" s="415"/>
      <c r="CDJ2" s="415"/>
      <c r="CDK2" s="415"/>
      <c r="CDL2" s="415"/>
      <c r="CDM2" s="415"/>
      <c r="CDN2" s="415"/>
      <c r="CDO2" s="415"/>
      <c r="CDP2" s="415"/>
      <c r="CDQ2" s="415"/>
      <c r="CDR2" s="415"/>
      <c r="CDS2" s="415"/>
      <c r="CDT2" s="415"/>
      <c r="CDU2" s="415"/>
      <c r="CDV2" s="415"/>
      <c r="CDW2" s="415"/>
      <c r="CDX2" s="415"/>
      <c r="CDY2" s="415"/>
      <c r="CDZ2" s="415"/>
      <c r="CEA2" s="415"/>
      <c r="CEB2" s="415"/>
      <c r="CEC2" s="415"/>
      <c r="CED2" s="415"/>
      <c r="CEE2" s="415"/>
      <c r="CEF2" s="415"/>
      <c r="CEG2" s="415"/>
      <c r="CEH2" s="415"/>
      <c r="CEI2" s="415"/>
      <c r="CEJ2" s="415"/>
      <c r="CEK2" s="415"/>
      <c r="CEL2" s="415"/>
      <c r="CEM2" s="415"/>
      <c r="CEN2" s="415"/>
      <c r="CEO2" s="415"/>
      <c r="CEP2" s="415"/>
      <c r="CEQ2" s="415"/>
      <c r="CER2" s="415"/>
      <c r="CES2" s="415"/>
      <c r="CET2" s="415"/>
      <c r="CEU2" s="415"/>
      <c r="CEV2" s="415"/>
      <c r="CEW2" s="415"/>
      <c r="CEX2" s="415"/>
      <c r="CEY2" s="415"/>
      <c r="CEZ2" s="415"/>
      <c r="CFA2" s="415"/>
      <c r="CFB2" s="415"/>
      <c r="CFC2" s="415"/>
      <c r="CFD2" s="415"/>
      <c r="CFE2" s="415"/>
      <c r="CFF2" s="415"/>
      <c r="CFG2" s="415"/>
      <c r="CFH2" s="415"/>
      <c r="CFI2" s="415"/>
      <c r="CFJ2" s="415"/>
      <c r="CFK2" s="415"/>
      <c r="CFL2" s="415"/>
      <c r="CFM2" s="415"/>
      <c r="CFN2" s="415"/>
      <c r="CFO2" s="415"/>
      <c r="CFP2" s="415"/>
      <c r="CFQ2" s="415"/>
      <c r="CFR2" s="415"/>
      <c r="CFS2" s="415"/>
      <c r="CFT2" s="415"/>
      <c r="CFU2" s="415"/>
      <c r="CFV2" s="415"/>
      <c r="CFW2" s="415"/>
      <c r="CFX2" s="415"/>
      <c r="CFY2" s="415"/>
      <c r="CFZ2" s="415"/>
      <c r="CGA2" s="415"/>
      <c r="CGB2" s="415"/>
      <c r="CGC2" s="415"/>
      <c r="CGD2" s="415"/>
      <c r="CGE2" s="415"/>
      <c r="CGF2" s="415"/>
      <c r="CGG2" s="415"/>
      <c r="CGH2" s="415"/>
      <c r="CGI2" s="415"/>
      <c r="CGJ2" s="415"/>
      <c r="CGK2" s="415"/>
      <c r="CGL2" s="415"/>
      <c r="CGM2" s="415"/>
      <c r="CGN2" s="415"/>
      <c r="CGO2" s="415"/>
      <c r="CGP2" s="415"/>
      <c r="CGQ2" s="415"/>
      <c r="CGR2" s="415"/>
      <c r="CGS2" s="415"/>
      <c r="CGT2" s="415"/>
      <c r="CGU2" s="415"/>
      <c r="CGV2" s="415"/>
      <c r="CGW2" s="415"/>
      <c r="CGX2" s="415"/>
      <c r="CGY2" s="415"/>
      <c r="CGZ2" s="415"/>
      <c r="CHA2" s="415"/>
      <c r="CHB2" s="415"/>
      <c r="CHC2" s="415"/>
      <c r="CHD2" s="415"/>
      <c r="CHE2" s="415"/>
      <c r="CHF2" s="415"/>
      <c r="CHG2" s="415"/>
      <c r="CHH2" s="415"/>
      <c r="CHI2" s="415"/>
      <c r="CHJ2" s="415"/>
      <c r="CHK2" s="415"/>
      <c r="CHL2" s="415"/>
      <c r="CHM2" s="415"/>
      <c r="CHN2" s="415"/>
      <c r="CHO2" s="415"/>
      <c r="CHP2" s="415"/>
      <c r="CHQ2" s="415"/>
      <c r="CHR2" s="415"/>
      <c r="CHS2" s="415"/>
      <c r="CHT2" s="415"/>
      <c r="CHU2" s="415"/>
      <c r="CHV2" s="415"/>
      <c r="CHW2" s="415"/>
      <c r="CHX2" s="415"/>
      <c r="CHY2" s="415"/>
      <c r="CHZ2" s="415"/>
      <c r="CIA2" s="415"/>
      <c r="CIB2" s="415"/>
      <c r="CIC2" s="415"/>
      <c r="CID2" s="415"/>
      <c r="CIE2" s="415"/>
      <c r="CIF2" s="415"/>
      <c r="CIG2" s="415"/>
      <c r="CIH2" s="415"/>
      <c r="CII2" s="415"/>
      <c r="CIJ2" s="415"/>
      <c r="CIK2" s="415"/>
      <c r="CIL2" s="415"/>
      <c r="CIM2" s="415"/>
      <c r="CIN2" s="415"/>
      <c r="CIO2" s="415"/>
      <c r="CIP2" s="415"/>
      <c r="CIQ2" s="415"/>
      <c r="CIR2" s="415"/>
      <c r="CIS2" s="415"/>
      <c r="CIT2" s="415"/>
      <c r="CIU2" s="415"/>
      <c r="CIV2" s="415"/>
      <c r="CIW2" s="415"/>
      <c r="CIX2" s="415"/>
      <c r="CIY2" s="415"/>
      <c r="CIZ2" s="415"/>
      <c r="CJA2" s="415"/>
      <c r="CJB2" s="415"/>
      <c r="CJC2" s="415"/>
      <c r="CJD2" s="415"/>
      <c r="CJE2" s="415"/>
      <c r="CJF2" s="415"/>
      <c r="CJG2" s="415"/>
      <c r="CJH2" s="415"/>
      <c r="CJI2" s="415"/>
      <c r="CJJ2" s="415"/>
      <c r="CJK2" s="415"/>
      <c r="CJL2" s="415"/>
      <c r="CJM2" s="415"/>
      <c r="CJN2" s="415"/>
      <c r="CJO2" s="415"/>
      <c r="CJP2" s="415"/>
      <c r="CJQ2" s="415"/>
      <c r="CJR2" s="415"/>
      <c r="CJS2" s="415"/>
      <c r="CJT2" s="415"/>
      <c r="CJU2" s="415"/>
      <c r="CJV2" s="415"/>
      <c r="CJW2" s="415"/>
      <c r="CJX2" s="415"/>
      <c r="CJY2" s="415"/>
      <c r="CJZ2" s="415"/>
      <c r="CKA2" s="415"/>
      <c r="CKB2" s="415"/>
      <c r="CKC2" s="415"/>
      <c r="CKD2" s="415"/>
      <c r="CKE2" s="415"/>
      <c r="CKF2" s="415"/>
      <c r="CKG2" s="415"/>
      <c r="CKH2" s="415"/>
      <c r="CKI2" s="415"/>
      <c r="CKJ2" s="415"/>
      <c r="CKK2" s="415"/>
      <c r="CKL2" s="415"/>
      <c r="CKM2" s="415"/>
      <c r="CKN2" s="415"/>
      <c r="CKO2" s="415"/>
      <c r="CKP2" s="415"/>
      <c r="CKQ2" s="415"/>
      <c r="CKR2" s="415"/>
      <c r="CKS2" s="415"/>
      <c r="CKT2" s="415"/>
      <c r="CKU2" s="415"/>
      <c r="CKV2" s="415"/>
      <c r="CKW2" s="415"/>
      <c r="CKX2" s="415"/>
      <c r="CKY2" s="415"/>
      <c r="CKZ2" s="415"/>
      <c r="CLA2" s="415"/>
      <c r="CLB2" s="415"/>
      <c r="CLC2" s="415"/>
      <c r="CLD2" s="415"/>
      <c r="CLE2" s="415"/>
      <c r="CLF2" s="415"/>
      <c r="CLG2" s="415"/>
      <c r="CLH2" s="415"/>
      <c r="CLI2" s="415"/>
      <c r="CLJ2" s="415"/>
      <c r="CLK2" s="415"/>
      <c r="CLL2" s="415"/>
      <c r="CLM2" s="415"/>
      <c r="CLN2" s="415"/>
      <c r="CLO2" s="415"/>
      <c r="CLP2" s="415"/>
      <c r="CLQ2" s="415"/>
      <c r="CLR2" s="415"/>
      <c r="CLS2" s="415"/>
      <c r="CLT2" s="415"/>
      <c r="CLU2" s="415"/>
      <c r="CLV2" s="415"/>
      <c r="CLW2" s="415"/>
      <c r="CLX2" s="415"/>
      <c r="CLY2" s="415"/>
      <c r="CLZ2" s="415"/>
      <c r="CMA2" s="415"/>
      <c r="CMB2" s="415"/>
      <c r="CMC2" s="415"/>
      <c r="CMD2" s="415"/>
      <c r="CME2" s="415"/>
      <c r="CMF2" s="415"/>
      <c r="CMG2" s="415"/>
      <c r="CMH2" s="415"/>
      <c r="CMI2" s="415"/>
      <c r="CMJ2" s="415"/>
      <c r="CMK2" s="415"/>
      <c r="CML2" s="415"/>
      <c r="CMM2" s="415"/>
      <c r="CMN2" s="415"/>
      <c r="CMO2" s="415"/>
      <c r="CMP2" s="415"/>
      <c r="CMQ2" s="415"/>
      <c r="CMR2" s="415"/>
      <c r="CMS2" s="415"/>
      <c r="CMT2" s="415"/>
      <c r="CMU2" s="415"/>
      <c r="CMV2" s="415"/>
      <c r="CMW2" s="415"/>
      <c r="CMX2" s="415"/>
      <c r="CMY2" s="415"/>
      <c r="CMZ2" s="415"/>
      <c r="CNA2" s="415"/>
      <c r="CNB2" s="415"/>
      <c r="CNC2" s="415"/>
      <c r="CND2" s="415"/>
      <c r="CNE2" s="415"/>
      <c r="CNF2" s="415"/>
      <c r="CNG2" s="415"/>
      <c r="CNH2" s="415"/>
      <c r="CNI2" s="415"/>
      <c r="CNJ2" s="415"/>
      <c r="CNK2" s="415"/>
      <c r="CNL2" s="415"/>
      <c r="CNM2" s="415"/>
      <c r="CNN2" s="415"/>
      <c r="CNO2" s="415"/>
      <c r="CNP2" s="415"/>
      <c r="CNQ2" s="415"/>
      <c r="CNR2" s="415"/>
      <c r="CNS2" s="415"/>
      <c r="CNT2" s="415"/>
      <c r="CNU2" s="415"/>
      <c r="CNV2" s="415"/>
      <c r="CNW2" s="415"/>
      <c r="CNX2" s="415"/>
      <c r="CNY2" s="415"/>
      <c r="CNZ2" s="415"/>
      <c r="COA2" s="415"/>
      <c r="COB2" s="415"/>
      <c r="COC2" s="415"/>
      <c r="COD2" s="415"/>
      <c r="COE2" s="415"/>
      <c r="COF2" s="415"/>
      <c r="COG2" s="415"/>
      <c r="COH2" s="415"/>
      <c r="COI2" s="415"/>
      <c r="COJ2" s="415"/>
      <c r="COK2" s="415"/>
      <c r="COL2" s="415"/>
      <c r="COM2" s="415"/>
      <c r="CON2" s="415"/>
      <c r="COO2" s="415"/>
      <c r="COP2" s="415"/>
      <c r="COQ2" s="415"/>
      <c r="COR2" s="415"/>
      <c r="COS2" s="415"/>
      <c r="COT2" s="415"/>
      <c r="COU2" s="415"/>
      <c r="COV2" s="415"/>
      <c r="COW2" s="415"/>
      <c r="COX2" s="415"/>
      <c r="COY2" s="415"/>
      <c r="COZ2" s="415"/>
      <c r="CPA2" s="415"/>
      <c r="CPB2" s="415"/>
      <c r="CPC2" s="415"/>
      <c r="CPD2" s="415"/>
      <c r="CPE2" s="415"/>
      <c r="CPF2" s="415"/>
      <c r="CPG2" s="415"/>
      <c r="CPH2" s="415"/>
      <c r="CPI2" s="415"/>
      <c r="CPJ2" s="415"/>
      <c r="CPK2" s="415"/>
      <c r="CPL2" s="415"/>
      <c r="CPM2" s="415"/>
      <c r="CPN2" s="415"/>
      <c r="CPO2" s="415"/>
      <c r="CPP2" s="415"/>
      <c r="CPQ2" s="415"/>
      <c r="CPR2" s="415"/>
      <c r="CPS2" s="415"/>
      <c r="CPT2" s="415"/>
      <c r="CPU2" s="415"/>
      <c r="CPV2" s="415"/>
      <c r="CPW2" s="415"/>
      <c r="CPX2" s="415"/>
      <c r="CPY2" s="415"/>
      <c r="CPZ2" s="415"/>
      <c r="CQA2" s="415"/>
      <c r="CQB2" s="415"/>
      <c r="CQC2" s="415"/>
      <c r="CQD2" s="415"/>
      <c r="CQE2" s="415"/>
      <c r="CQF2" s="415"/>
      <c r="CQG2" s="415"/>
      <c r="CQH2" s="415"/>
      <c r="CQI2" s="415"/>
      <c r="CQJ2" s="415"/>
      <c r="CQK2" s="415"/>
      <c r="CQL2" s="415"/>
      <c r="CQM2" s="415"/>
      <c r="CQN2" s="415"/>
      <c r="CQO2" s="415"/>
      <c r="CQP2" s="415"/>
      <c r="CQQ2" s="415"/>
      <c r="CQR2" s="415"/>
      <c r="CQS2" s="415"/>
      <c r="CQT2" s="415"/>
      <c r="CQU2" s="415"/>
      <c r="CQV2" s="415"/>
      <c r="CQW2" s="415"/>
      <c r="CQX2" s="415"/>
      <c r="CQY2" s="415"/>
      <c r="CQZ2" s="415"/>
      <c r="CRA2" s="415"/>
      <c r="CRB2" s="415"/>
      <c r="CRC2" s="415"/>
      <c r="CRD2" s="415"/>
      <c r="CRE2" s="415"/>
      <c r="CRF2" s="415"/>
      <c r="CRG2" s="415"/>
      <c r="CRH2" s="415"/>
      <c r="CRI2" s="415"/>
      <c r="CRJ2" s="415"/>
      <c r="CRK2" s="415"/>
      <c r="CRL2" s="415"/>
      <c r="CRM2" s="415"/>
      <c r="CRN2" s="415"/>
      <c r="CRO2" s="415"/>
      <c r="CRP2" s="415"/>
      <c r="CRQ2" s="415"/>
      <c r="CRR2" s="415"/>
      <c r="CRS2" s="415"/>
      <c r="CRT2" s="415"/>
      <c r="CRU2" s="415"/>
      <c r="CRV2" s="415"/>
      <c r="CRW2" s="415"/>
      <c r="CRX2" s="415"/>
      <c r="CRY2" s="415"/>
      <c r="CRZ2" s="415"/>
      <c r="CSA2" s="415"/>
      <c r="CSB2" s="415"/>
      <c r="CSC2" s="415"/>
      <c r="CSD2" s="415"/>
      <c r="CSE2" s="415"/>
      <c r="CSF2" s="415"/>
      <c r="CSG2" s="415"/>
      <c r="CSH2" s="415"/>
      <c r="CSI2" s="415"/>
      <c r="CSJ2" s="415"/>
      <c r="CSK2" s="415"/>
      <c r="CSL2" s="415"/>
      <c r="CSM2" s="415"/>
      <c r="CSN2" s="415"/>
      <c r="CSO2" s="415"/>
      <c r="CSP2" s="415"/>
      <c r="CSQ2" s="415"/>
      <c r="CSR2" s="415"/>
      <c r="CSS2" s="415"/>
      <c r="CST2" s="415"/>
      <c r="CSU2" s="415"/>
      <c r="CSV2" s="415"/>
      <c r="CSW2" s="415"/>
      <c r="CSX2" s="415"/>
      <c r="CSY2" s="415"/>
      <c r="CSZ2" s="415"/>
      <c r="CTA2" s="415"/>
      <c r="CTB2" s="415"/>
      <c r="CTC2" s="415"/>
      <c r="CTD2" s="415"/>
      <c r="CTE2" s="415"/>
      <c r="CTF2" s="415"/>
      <c r="CTG2" s="415"/>
      <c r="CTH2" s="415"/>
      <c r="CTI2" s="415"/>
      <c r="CTJ2" s="415"/>
      <c r="CTK2" s="415"/>
      <c r="CTL2" s="415"/>
      <c r="CTM2" s="415"/>
      <c r="CTN2" s="415"/>
      <c r="CTO2" s="415"/>
      <c r="CTP2" s="415"/>
      <c r="CTQ2" s="415"/>
      <c r="CTR2" s="415"/>
      <c r="CTS2" s="415"/>
      <c r="CTT2" s="415"/>
      <c r="CTU2" s="415"/>
      <c r="CTV2" s="415"/>
      <c r="CTW2" s="415"/>
      <c r="CTX2" s="415"/>
      <c r="CTY2" s="415"/>
      <c r="CTZ2" s="415"/>
      <c r="CUA2" s="415"/>
      <c r="CUB2" s="415"/>
      <c r="CUC2" s="415"/>
      <c r="CUD2" s="415"/>
      <c r="CUE2" s="415"/>
      <c r="CUF2" s="415"/>
      <c r="CUG2" s="415"/>
      <c r="CUH2" s="415"/>
      <c r="CUI2" s="415"/>
      <c r="CUJ2" s="415"/>
      <c r="CUK2" s="415"/>
      <c r="CUL2" s="415"/>
      <c r="CUM2" s="415"/>
      <c r="CUN2" s="415"/>
      <c r="CUO2" s="415"/>
      <c r="CUP2" s="415"/>
      <c r="CUQ2" s="415"/>
      <c r="CUR2" s="415"/>
      <c r="CUS2" s="415"/>
      <c r="CUT2" s="415"/>
      <c r="CUU2" s="415"/>
      <c r="CUV2" s="415"/>
      <c r="CUW2" s="415"/>
      <c r="CUX2" s="415"/>
      <c r="CUY2" s="415"/>
      <c r="CUZ2" s="415"/>
      <c r="CVA2" s="415"/>
      <c r="CVB2" s="415"/>
      <c r="CVC2" s="415"/>
      <c r="CVD2" s="415"/>
      <c r="CVE2" s="415"/>
      <c r="CVF2" s="415"/>
      <c r="CVG2" s="415"/>
      <c r="CVH2" s="415"/>
      <c r="CVI2" s="415"/>
      <c r="CVJ2" s="415"/>
      <c r="CVK2" s="415"/>
      <c r="CVL2" s="415"/>
      <c r="CVM2" s="415"/>
      <c r="CVN2" s="415"/>
      <c r="CVO2" s="415"/>
      <c r="CVP2" s="415"/>
      <c r="CVQ2" s="415"/>
      <c r="CVR2" s="415"/>
      <c r="CVS2" s="415"/>
      <c r="CVT2" s="415"/>
      <c r="CVU2" s="415"/>
      <c r="CVV2" s="415"/>
      <c r="CVW2" s="415"/>
      <c r="CVX2" s="415"/>
      <c r="CVY2" s="415"/>
      <c r="CVZ2" s="415"/>
      <c r="CWA2" s="415"/>
      <c r="CWB2" s="415"/>
      <c r="CWC2" s="415"/>
      <c r="CWD2" s="415"/>
      <c r="CWE2" s="415"/>
      <c r="CWF2" s="415"/>
      <c r="CWG2" s="415"/>
      <c r="CWH2" s="415"/>
      <c r="CWI2" s="415"/>
      <c r="CWJ2" s="415"/>
      <c r="CWK2" s="415"/>
      <c r="CWL2" s="415"/>
      <c r="CWM2" s="415"/>
      <c r="CWN2" s="415"/>
      <c r="CWO2" s="415"/>
      <c r="CWP2" s="415"/>
      <c r="CWQ2" s="415"/>
      <c r="CWR2" s="415"/>
      <c r="CWS2" s="415"/>
      <c r="CWT2" s="415"/>
      <c r="CWU2" s="415"/>
      <c r="CWV2" s="415"/>
      <c r="CWW2" s="415"/>
      <c r="CWX2" s="415"/>
      <c r="CWY2" s="415"/>
      <c r="CWZ2" s="415"/>
      <c r="CXA2" s="415"/>
      <c r="CXB2" s="415"/>
      <c r="CXC2" s="415"/>
      <c r="CXD2" s="415"/>
      <c r="CXE2" s="415"/>
      <c r="CXF2" s="415"/>
      <c r="CXG2" s="415"/>
      <c r="CXH2" s="415"/>
      <c r="CXI2" s="415"/>
      <c r="CXJ2" s="415"/>
      <c r="CXK2" s="415"/>
      <c r="CXL2" s="415"/>
      <c r="CXM2" s="415"/>
      <c r="CXN2" s="415"/>
      <c r="CXO2" s="415"/>
      <c r="CXP2" s="415"/>
      <c r="CXQ2" s="415"/>
      <c r="CXR2" s="415"/>
      <c r="CXS2" s="415"/>
      <c r="CXT2" s="415"/>
      <c r="CXU2" s="415"/>
      <c r="CXV2" s="415"/>
      <c r="CXW2" s="415"/>
      <c r="CXX2" s="415"/>
      <c r="CXY2" s="415"/>
      <c r="CXZ2" s="415"/>
      <c r="CYA2" s="415"/>
      <c r="CYB2" s="415"/>
      <c r="CYC2" s="415"/>
      <c r="CYD2" s="415"/>
      <c r="CYE2" s="415"/>
      <c r="CYF2" s="415"/>
      <c r="CYG2" s="415"/>
      <c r="CYH2" s="415"/>
      <c r="CYI2" s="415"/>
      <c r="CYJ2" s="415"/>
      <c r="CYK2" s="415"/>
      <c r="CYL2" s="415"/>
      <c r="CYM2" s="415"/>
      <c r="CYN2" s="415"/>
      <c r="CYO2" s="415"/>
      <c r="CYP2" s="415"/>
      <c r="CYQ2" s="415"/>
      <c r="CYR2" s="415"/>
      <c r="CYS2" s="415"/>
      <c r="CYT2" s="415"/>
      <c r="CYU2" s="415"/>
      <c r="CYV2" s="415"/>
      <c r="CYW2" s="415"/>
      <c r="CYX2" s="415"/>
      <c r="CYY2" s="415"/>
      <c r="CYZ2" s="415"/>
      <c r="CZA2" s="415"/>
      <c r="CZB2" s="415"/>
      <c r="CZC2" s="415"/>
      <c r="CZD2" s="415"/>
      <c r="CZE2" s="415"/>
      <c r="CZF2" s="415"/>
      <c r="CZG2" s="415"/>
      <c r="CZH2" s="415"/>
      <c r="CZI2" s="415"/>
      <c r="CZJ2" s="415"/>
      <c r="CZK2" s="415"/>
      <c r="CZL2" s="415"/>
      <c r="CZM2" s="415"/>
      <c r="CZN2" s="415"/>
      <c r="CZO2" s="415"/>
      <c r="CZP2" s="415"/>
      <c r="CZQ2" s="415"/>
      <c r="CZR2" s="415"/>
      <c r="CZS2" s="415"/>
      <c r="CZT2" s="415"/>
      <c r="CZU2" s="415"/>
      <c r="CZV2" s="415"/>
      <c r="CZW2" s="415"/>
      <c r="CZX2" s="415"/>
      <c r="CZY2" s="415"/>
      <c r="CZZ2" s="415"/>
      <c r="DAA2" s="415"/>
      <c r="DAB2" s="415"/>
      <c r="DAC2" s="415"/>
      <c r="DAD2" s="415"/>
      <c r="DAE2" s="415"/>
      <c r="DAF2" s="415"/>
      <c r="DAG2" s="415"/>
      <c r="DAH2" s="415"/>
      <c r="DAI2" s="415"/>
      <c r="DAJ2" s="415"/>
      <c r="DAK2" s="415"/>
      <c r="DAL2" s="415"/>
      <c r="DAM2" s="415"/>
      <c r="DAN2" s="415"/>
      <c r="DAO2" s="415"/>
      <c r="DAP2" s="415"/>
      <c r="DAQ2" s="415"/>
      <c r="DAR2" s="415"/>
      <c r="DAS2" s="415"/>
      <c r="DAT2" s="415"/>
      <c r="DAU2" s="415"/>
      <c r="DAV2" s="415"/>
      <c r="DAW2" s="415"/>
      <c r="DAX2" s="415"/>
      <c r="DAY2" s="415"/>
      <c r="DAZ2" s="415"/>
      <c r="DBA2" s="415"/>
      <c r="DBB2" s="415"/>
      <c r="DBC2" s="415"/>
      <c r="DBD2" s="415"/>
      <c r="DBE2" s="415"/>
      <c r="DBF2" s="415"/>
      <c r="DBG2" s="415"/>
      <c r="DBH2" s="415"/>
      <c r="DBI2" s="415"/>
      <c r="DBJ2" s="415"/>
      <c r="DBK2" s="415"/>
      <c r="DBL2" s="415"/>
      <c r="DBM2" s="415"/>
      <c r="DBN2" s="415"/>
      <c r="DBO2" s="415"/>
      <c r="DBP2" s="415"/>
      <c r="DBQ2" s="415"/>
      <c r="DBR2" s="415"/>
      <c r="DBS2" s="415"/>
      <c r="DBT2" s="415"/>
      <c r="DBU2" s="415"/>
      <c r="DBV2" s="415"/>
      <c r="DBW2" s="415"/>
      <c r="DBX2" s="415"/>
      <c r="DBY2" s="415"/>
      <c r="DBZ2" s="415"/>
      <c r="DCA2" s="415"/>
      <c r="DCB2" s="415"/>
      <c r="DCC2" s="415"/>
      <c r="DCD2" s="415"/>
      <c r="DCE2" s="415"/>
      <c r="DCF2" s="415"/>
      <c r="DCG2" s="415"/>
      <c r="DCH2" s="415"/>
      <c r="DCI2" s="415"/>
      <c r="DCJ2" s="415"/>
      <c r="DCK2" s="415"/>
      <c r="DCL2" s="415"/>
      <c r="DCM2" s="415"/>
      <c r="DCN2" s="415"/>
      <c r="DCO2" s="415"/>
      <c r="DCP2" s="415"/>
      <c r="DCQ2" s="415"/>
      <c r="DCR2" s="415"/>
      <c r="DCS2" s="415"/>
      <c r="DCT2" s="415"/>
      <c r="DCU2" s="415"/>
      <c r="DCV2" s="415"/>
      <c r="DCW2" s="415"/>
      <c r="DCX2" s="415"/>
      <c r="DCY2" s="415"/>
      <c r="DCZ2" s="415"/>
      <c r="DDA2" s="415"/>
      <c r="DDB2" s="415"/>
      <c r="DDC2" s="415"/>
      <c r="DDD2" s="415"/>
      <c r="DDE2" s="415"/>
      <c r="DDF2" s="415"/>
      <c r="DDG2" s="415"/>
      <c r="DDH2" s="415"/>
      <c r="DDI2" s="415"/>
      <c r="DDJ2" s="415"/>
      <c r="DDK2" s="415"/>
      <c r="DDL2" s="415"/>
      <c r="DDM2" s="415"/>
      <c r="DDN2" s="415"/>
      <c r="DDO2" s="415"/>
      <c r="DDP2" s="415"/>
      <c r="DDQ2" s="415"/>
      <c r="DDR2" s="415"/>
      <c r="DDS2" s="415"/>
      <c r="DDT2" s="415"/>
      <c r="DDU2" s="415"/>
      <c r="DDV2" s="415"/>
      <c r="DDW2" s="415"/>
      <c r="DDX2" s="415"/>
      <c r="DDY2" s="415"/>
      <c r="DDZ2" s="415"/>
      <c r="DEA2" s="415"/>
      <c r="DEB2" s="415"/>
      <c r="DEC2" s="415"/>
      <c r="DED2" s="415"/>
      <c r="DEE2" s="415"/>
      <c r="DEF2" s="415"/>
      <c r="DEG2" s="415"/>
      <c r="DEH2" s="415"/>
      <c r="DEI2" s="415"/>
      <c r="DEJ2" s="415"/>
      <c r="DEK2" s="415"/>
      <c r="DEL2" s="415"/>
      <c r="DEM2" s="415"/>
      <c r="DEN2" s="415"/>
      <c r="DEO2" s="415"/>
      <c r="DEP2" s="415"/>
      <c r="DEQ2" s="415"/>
      <c r="DER2" s="415"/>
      <c r="DES2" s="415"/>
      <c r="DET2" s="415"/>
      <c r="DEU2" s="415"/>
      <c r="DEV2" s="415"/>
      <c r="DEW2" s="415"/>
      <c r="DEX2" s="415"/>
      <c r="DEY2" s="415"/>
      <c r="DEZ2" s="415"/>
      <c r="DFA2" s="415"/>
      <c r="DFB2" s="415"/>
      <c r="DFC2" s="415"/>
      <c r="DFD2" s="415"/>
      <c r="DFE2" s="415"/>
      <c r="DFF2" s="415"/>
      <c r="DFG2" s="415"/>
      <c r="DFH2" s="415"/>
      <c r="DFI2" s="415"/>
      <c r="DFJ2" s="415"/>
      <c r="DFK2" s="415"/>
      <c r="DFL2" s="415"/>
      <c r="DFM2" s="415"/>
      <c r="DFN2" s="415"/>
      <c r="DFO2" s="415"/>
      <c r="DFP2" s="415"/>
      <c r="DFQ2" s="415"/>
      <c r="DFR2" s="415"/>
      <c r="DFS2" s="415"/>
      <c r="DFT2" s="415"/>
      <c r="DFU2" s="415"/>
      <c r="DFV2" s="415"/>
      <c r="DFW2" s="415"/>
      <c r="DFX2" s="415"/>
      <c r="DFY2" s="415"/>
      <c r="DFZ2" s="415"/>
      <c r="DGA2" s="415"/>
      <c r="DGB2" s="415"/>
      <c r="DGC2" s="415"/>
      <c r="DGD2" s="415"/>
      <c r="DGE2" s="415"/>
      <c r="DGF2" s="415"/>
      <c r="DGG2" s="415"/>
      <c r="DGH2" s="415"/>
      <c r="DGI2" s="415"/>
      <c r="DGJ2" s="415"/>
      <c r="DGK2" s="415"/>
      <c r="DGL2" s="415"/>
      <c r="DGM2" s="415"/>
      <c r="DGN2" s="415"/>
      <c r="DGO2" s="415"/>
      <c r="DGP2" s="415"/>
      <c r="DGQ2" s="415"/>
      <c r="DGR2" s="415"/>
      <c r="DGS2" s="415"/>
      <c r="DGT2" s="415"/>
      <c r="DGU2" s="415"/>
      <c r="DGV2" s="415"/>
      <c r="DGW2" s="415"/>
      <c r="DGX2" s="415"/>
      <c r="DGY2" s="415"/>
      <c r="DGZ2" s="415"/>
      <c r="DHA2" s="415"/>
      <c r="DHB2" s="415"/>
      <c r="DHC2" s="415"/>
      <c r="DHD2" s="415"/>
      <c r="DHE2" s="415"/>
      <c r="DHF2" s="415"/>
      <c r="DHG2" s="415"/>
      <c r="DHH2" s="415"/>
      <c r="DHI2" s="415"/>
      <c r="DHJ2" s="415"/>
      <c r="DHK2" s="415"/>
      <c r="DHL2" s="415"/>
      <c r="DHM2" s="415"/>
      <c r="DHN2" s="415"/>
      <c r="DHO2" s="415"/>
      <c r="DHP2" s="415"/>
      <c r="DHQ2" s="415"/>
      <c r="DHR2" s="415"/>
      <c r="DHS2" s="415"/>
      <c r="DHT2" s="415"/>
      <c r="DHU2" s="415"/>
      <c r="DHV2" s="415"/>
      <c r="DHW2" s="415"/>
      <c r="DHX2" s="415"/>
      <c r="DHY2" s="415"/>
      <c r="DHZ2" s="415"/>
      <c r="DIA2" s="415"/>
      <c r="DIB2" s="415"/>
      <c r="DIC2" s="415"/>
      <c r="DID2" s="415"/>
      <c r="DIE2" s="415"/>
      <c r="DIF2" s="415"/>
      <c r="DIG2" s="415"/>
      <c r="DIH2" s="415"/>
      <c r="DII2" s="415"/>
      <c r="DIJ2" s="415"/>
      <c r="DIK2" s="415"/>
      <c r="DIL2" s="415"/>
      <c r="DIM2" s="415"/>
      <c r="DIN2" s="415"/>
      <c r="DIO2" s="415"/>
      <c r="DIP2" s="415"/>
      <c r="DIQ2" s="415"/>
      <c r="DIR2" s="415"/>
      <c r="DIS2" s="415"/>
      <c r="DIT2" s="415"/>
      <c r="DIU2" s="415"/>
      <c r="DIV2" s="415"/>
      <c r="DIW2" s="415"/>
      <c r="DIX2" s="415"/>
      <c r="DIY2" s="415"/>
      <c r="DIZ2" s="415"/>
      <c r="DJA2" s="415"/>
      <c r="DJB2" s="415"/>
      <c r="DJC2" s="415"/>
      <c r="DJD2" s="415"/>
      <c r="DJE2" s="415"/>
      <c r="DJF2" s="415"/>
      <c r="DJG2" s="415"/>
      <c r="DJH2" s="415"/>
      <c r="DJI2" s="415"/>
      <c r="DJJ2" s="415"/>
      <c r="DJK2" s="415"/>
      <c r="DJL2" s="415"/>
      <c r="DJM2" s="415"/>
      <c r="DJN2" s="415"/>
      <c r="DJO2" s="415"/>
      <c r="DJP2" s="415"/>
      <c r="DJQ2" s="415"/>
      <c r="DJR2" s="415"/>
      <c r="DJS2" s="415"/>
      <c r="DJT2" s="415"/>
      <c r="DJU2" s="415"/>
      <c r="DJV2" s="415"/>
      <c r="DJW2" s="415"/>
      <c r="DJX2" s="415"/>
      <c r="DJY2" s="415"/>
      <c r="DJZ2" s="415"/>
      <c r="DKA2" s="415"/>
      <c r="DKB2" s="415"/>
      <c r="DKC2" s="415"/>
      <c r="DKD2" s="415"/>
      <c r="DKE2" s="415"/>
      <c r="DKF2" s="415"/>
      <c r="DKG2" s="415"/>
      <c r="DKH2" s="415"/>
      <c r="DKI2" s="415"/>
      <c r="DKJ2" s="415"/>
      <c r="DKK2" s="415"/>
      <c r="DKL2" s="415"/>
      <c r="DKM2" s="415"/>
      <c r="DKN2" s="415"/>
      <c r="DKO2" s="415"/>
      <c r="DKP2" s="415"/>
      <c r="DKQ2" s="415"/>
      <c r="DKR2" s="415"/>
      <c r="DKS2" s="415"/>
      <c r="DKT2" s="415"/>
      <c r="DKU2" s="415"/>
      <c r="DKV2" s="415"/>
      <c r="DKW2" s="415"/>
      <c r="DKX2" s="415"/>
      <c r="DKY2" s="415"/>
      <c r="DKZ2" s="415"/>
      <c r="DLA2" s="415"/>
      <c r="DLB2" s="415"/>
      <c r="DLC2" s="415"/>
      <c r="DLD2" s="415"/>
      <c r="DLE2" s="415"/>
      <c r="DLF2" s="415"/>
      <c r="DLG2" s="415"/>
      <c r="DLH2" s="415"/>
      <c r="DLI2" s="415"/>
      <c r="DLJ2" s="415"/>
      <c r="DLK2" s="415"/>
      <c r="DLL2" s="415"/>
      <c r="DLM2" s="415"/>
      <c r="DLN2" s="415"/>
      <c r="DLO2" s="415"/>
      <c r="DLP2" s="415"/>
      <c r="DLQ2" s="415"/>
      <c r="DLR2" s="415"/>
      <c r="DLS2" s="415"/>
      <c r="DLT2" s="415"/>
      <c r="DLU2" s="415"/>
      <c r="DLV2" s="415"/>
      <c r="DLW2" s="415"/>
      <c r="DLX2" s="415"/>
      <c r="DLY2" s="415"/>
      <c r="DLZ2" s="415"/>
      <c r="DMA2" s="415"/>
      <c r="DMB2" s="415"/>
      <c r="DMC2" s="415"/>
      <c r="DMD2" s="415"/>
      <c r="DME2" s="415"/>
      <c r="DMF2" s="415"/>
      <c r="DMG2" s="415"/>
      <c r="DMH2" s="415"/>
      <c r="DMI2" s="415"/>
      <c r="DMJ2" s="415"/>
      <c r="DMK2" s="415"/>
      <c r="DML2" s="415"/>
      <c r="DMM2" s="415"/>
      <c r="DMN2" s="415"/>
      <c r="DMO2" s="415"/>
      <c r="DMP2" s="415"/>
      <c r="DMQ2" s="415"/>
      <c r="DMR2" s="415"/>
      <c r="DMS2" s="415"/>
      <c r="DMT2" s="415"/>
      <c r="DMU2" s="415"/>
      <c r="DMV2" s="415"/>
      <c r="DMW2" s="415"/>
      <c r="DMX2" s="415"/>
      <c r="DMY2" s="415"/>
      <c r="DMZ2" s="415"/>
      <c r="DNA2" s="415"/>
      <c r="DNB2" s="415"/>
      <c r="DNC2" s="415"/>
      <c r="DND2" s="415"/>
      <c r="DNE2" s="415"/>
      <c r="DNF2" s="415"/>
      <c r="DNG2" s="415"/>
      <c r="DNH2" s="415"/>
      <c r="DNI2" s="415"/>
      <c r="DNJ2" s="415"/>
      <c r="DNK2" s="415"/>
      <c r="DNL2" s="415"/>
      <c r="DNM2" s="415"/>
      <c r="DNN2" s="415"/>
      <c r="DNO2" s="415"/>
      <c r="DNP2" s="415"/>
      <c r="DNQ2" s="415"/>
      <c r="DNR2" s="415"/>
      <c r="DNS2" s="415"/>
      <c r="DNT2" s="415"/>
      <c r="DNU2" s="415"/>
      <c r="DNV2" s="415"/>
      <c r="DNW2" s="415"/>
      <c r="DNX2" s="415"/>
      <c r="DNY2" s="415"/>
      <c r="DNZ2" s="415"/>
      <c r="DOA2" s="415"/>
      <c r="DOB2" s="415"/>
      <c r="DOC2" s="415"/>
      <c r="DOD2" s="415"/>
      <c r="DOE2" s="415"/>
      <c r="DOF2" s="415"/>
      <c r="DOG2" s="415"/>
      <c r="DOH2" s="415"/>
      <c r="DOI2" s="415"/>
      <c r="DOJ2" s="415"/>
      <c r="DOK2" s="415"/>
      <c r="DOL2" s="415"/>
      <c r="DOM2" s="415"/>
      <c r="DON2" s="415"/>
      <c r="DOO2" s="415"/>
      <c r="DOP2" s="415"/>
      <c r="DOQ2" s="415"/>
      <c r="DOR2" s="415"/>
      <c r="DOS2" s="415"/>
      <c r="DOT2" s="415"/>
      <c r="DOU2" s="415"/>
      <c r="DOV2" s="415"/>
      <c r="DOW2" s="415"/>
      <c r="DOX2" s="415"/>
      <c r="DOY2" s="415"/>
      <c r="DOZ2" s="415"/>
      <c r="DPA2" s="415"/>
      <c r="DPB2" s="415"/>
      <c r="DPC2" s="415"/>
      <c r="DPD2" s="415"/>
      <c r="DPE2" s="415"/>
      <c r="DPF2" s="415"/>
      <c r="DPG2" s="415"/>
      <c r="DPH2" s="415"/>
      <c r="DPI2" s="415"/>
      <c r="DPJ2" s="415"/>
      <c r="DPK2" s="415"/>
      <c r="DPL2" s="415"/>
      <c r="DPM2" s="415"/>
      <c r="DPN2" s="415"/>
      <c r="DPO2" s="415"/>
      <c r="DPP2" s="415"/>
      <c r="DPQ2" s="415"/>
      <c r="DPR2" s="415"/>
      <c r="DPS2" s="415"/>
      <c r="DPT2" s="415"/>
      <c r="DPU2" s="415"/>
      <c r="DPV2" s="415"/>
      <c r="DPW2" s="415"/>
      <c r="DPX2" s="415"/>
      <c r="DPY2" s="415"/>
      <c r="DPZ2" s="415"/>
      <c r="DQA2" s="415"/>
      <c r="DQB2" s="415"/>
      <c r="DQC2" s="415"/>
      <c r="DQD2" s="415"/>
      <c r="DQE2" s="415"/>
      <c r="DQF2" s="415"/>
      <c r="DQG2" s="415"/>
      <c r="DQH2" s="415"/>
      <c r="DQI2" s="415"/>
      <c r="DQJ2" s="415"/>
      <c r="DQK2" s="415"/>
      <c r="DQL2" s="415"/>
      <c r="DQM2" s="415"/>
      <c r="DQN2" s="415"/>
      <c r="DQO2" s="415"/>
      <c r="DQP2" s="415"/>
      <c r="DQQ2" s="415"/>
      <c r="DQR2" s="415"/>
      <c r="DQS2" s="415"/>
      <c r="DQT2" s="415"/>
      <c r="DQU2" s="415"/>
      <c r="DQV2" s="415"/>
      <c r="DQW2" s="415"/>
      <c r="DQX2" s="415"/>
      <c r="DQY2" s="415"/>
      <c r="DQZ2" s="415"/>
      <c r="DRA2" s="415"/>
      <c r="DRB2" s="415"/>
      <c r="DRC2" s="415"/>
      <c r="DRD2" s="415"/>
      <c r="DRE2" s="415"/>
      <c r="DRF2" s="415"/>
      <c r="DRG2" s="415"/>
      <c r="DRH2" s="415"/>
      <c r="DRI2" s="415"/>
      <c r="DRJ2" s="415"/>
      <c r="DRK2" s="415"/>
      <c r="DRL2" s="415"/>
      <c r="DRM2" s="415"/>
      <c r="DRN2" s="415"/>
      <c r="DRO2" s="415"/>
      <c r="DRP2" s="415"/>
      <c r="DRQ2" s="415"/>
      <c r="DRR2" s="415"/>
      <c r="DRS2" s="415"/>
      <c r="DRT2" s="415"/>
      <c r="DRU2" s="415"/>
      <c r="DRV2" s="415"/>
      <c r="DRW2" s="415"/>
      <c r="DRX2" s="415"/>
      <c r="DRY2" s="415"/>
      <c r="DRZ2" s="415"/>
      <c r="DSA2" s="415"/>
      <c r="DSB2" s="415"/>
      <c r="DSC2" s="415"/>
      <c r="DSD2" s="415"/>
      <c r="DSE2" s="415"/>
      <c r="DSF2" s="415"/>
      <c r="DSG2" s="415"/>
      <c r="DSH2" s="415"/>
      <c r="DSI2" s="415"/>
      <c r="DSJ2" s="415"/>
      <c r="DSK2" s="415"/>
      <c r="DSL2" s="415"/>
      <c r="DSM2" s="415"/>
      <c r="DSN2" s="415"/>
      <c r="DSO2" s="415"/>
      <c r="DSP2" s="415"/>
      <c r="DSQ2" s="415"/>
      <c r="DSR2" s="415"/>
      <c r="DSS2" s="415"/>
      <c r="DST2" s="415"/>
      <c r="DSU2" s="415"/>
      <c r="DSV2" s="415"/>
      <c r="DSW2" s="415"/>
      <c r="DSX2" s="415"/>
      <c r="DSY2" s="415"/>
      <c r="DSZ2" s="415"/>
      <c r="DTA2" s="415"/>
      <c r="DTB2" s="415"/>
      <c r="DTC2" s="415"/>
      <c r="DTD2" s="415"/>
      <c r="DTE2" s="415"/>
      <c r="DTF2" s="415"/>
      <c r="DTG2" s="415"/>
      <c r="DTH2" s="415"/>
      <c r="DTI2" s="415"/>
      <c r="DTJ2" s="415"/>
      <c r="DTK2" s="415"/>
      <c r="DTL2" s="415"/>
      <c r="DTM2" s="415"/>
      <c r="DTN2" s="415"/>
      <c r="DTO2" s="415"/>
      <c r="DTP2" s="415"/>
      <c r="DTQ2" s="415"/>
      <c r="DTR2" s="415"/>
      <c r="DTS2" s="415"/>
      <c r="DTT2" s="415"/>
      <c r="DTU2" s="415"/>
      <c r="DTV2" s="415"/>
      <c r="DTW2" s="415"/>
      <c r="DTX2" s="415"/>
      <c r="DTY2" s="415"/>
      <c r="DTZ2" s="415"/>
      <c r="DUA2" s="415"/>
      <c r="DUB2" s="415"/>
      <c r="DUC2" s="415"/>
      <c r="DUD2" s="415"/>
      <c r="DUE2" s="415"/>
      <c r="DUF2" s="415"/>
      <c r="DUG2" s="415"/>
      <c r="DUH2" s="415"/>
      <c r="DUI2" s="415"/>
      <c r="DUJ2" s="415"/>
      <c r="DUK2" s="415"/>
      <c r="DUL2" s="415"/>
      <c r="DUM2" s="415"/>
      <c r="DUN2" s="415"/>
      <c r="DUO2" s="415"/>
      <c r="DUP2" s="415"/>
      <c r="DUQ2" s="415"/>
      <c r="DUR2" s="415"/>
      <c r="DUS2" s="415"/>
      <c r="DUT2" s="415"/>
      <c r="DUU2" s="415"/>
      <c r="DUV2" s="415"/>
      <c r="DUW2" s="415"/>
      <c r="DUX2" s="415"/>
      <c r="DUY2" s="415"/>
      <c r="DUZ2" s="415"/>
      <c r="DVA2" s="415"/>
      <c r="DVB2" s="415"/>
      <c r="DVC2" s="415"/>
      <c r="DVD2" s="415"/>
      <c r="DVE2" s="415"/>
      <c r="DVF2" s="415"/>
      <c r="DVG2" s="415"/>
      <c r="DVH2" s="415"/>
      <c r="DVI2" s="415"/>
      <c r="DVJ2" s="415"/>
      <c r="DVK2" s="415"/>
      <c r="DVL2" s="415"/>
      <c r="DVM2" s="415"/>
      <c r="DVN2" s="415"/>
      <c r="DVO2" s="415"/>
      <c r="DVP2" s="415"/>
      <c r="DVQ2" s="415"/>
      <c r="DVR2" s="415"/>
      <c r="DVS2" s="415"/>
      <c r="DVT2" s="415"/>
      <c r="DVU2" s="415"/>
      <c r="DVV2" s="415"/>
      <c r="DVW2" s="415"/>
      <c r="DVX2" s="415"/>
      <c r="DVY2" s="415"/>
      <c r="DVZ2" s="415"/>
      <c r="DWA2" s="415"/>
      <c r="DWB2" s="415"/>
      <c r="DWC2" s="415"/>
      <c r="DWD2" s="415"/>
      <c r="DWE2" s="415"/>
      <c r="DWF2" s="415"/>
      <c r="DWG2" s="415"/>
      <c r="DWH2" s="415"/>
      <c r="DWI2" s="415"/>
      <c r="DWJ2" s="415"/>
      <c r="DWK2" s="415"/>
      <c r="DWL2" s="415"/>
      <c r="DWM2" s="415"/>
      <c r="DWN2" s="415"/>
      <c r="DWO2" s="415"/>
      <c r="DWP2" s="415"/>
      <c r="DWQ2" s="415"/>
      <c r="DWR2" s="415"/>
      <c r="DWS2" s="415"/>
      <c r="DWT2" s="415"/>
      <c r="DWU2" s="415"/>
      <c r="DWV2" s="415"/>
      <c r="DWW2" s="415"/>
      <c r="DWX2" s="415"/>
      <c r="DWY2" s="415"/>
      <c r="DWZ2" s="415"/>
      <c r="DXA2" s="415"/>
      <c r="DXB2" s="415"/>
      <c r="DXC2" s="415"/>
      <c r="DXD2" s="415"/>
      <c r="DXE2" s="415"/>
      <c r="DXF2" s="415"/>
      <c r="DXG2" s="415"/>
      <c r="DXH2" s="415"/>
      <c r="DXI2" s="415"/>
      <c r="DXJ2" s="415"/>
      <c r="DXK2" s="415"/>
      <c r="DXL2" s="415"/>
      <c r="DXM2" s="415"/>
      <c r="DXN2" s="415"/>
      <c r="DXO2" s="415"/>
      <c r="DXP2" s="415"/>
      <c r="DXQ2" s="415"/>
      <c r="DXR2" s="415"/>
      <c r="DXS2" s="415"/>
      <c r="DXT2" s="415"/>
      <c r="DXU2" s="415"/>
      <c r="DXV2" s="415"/>
      <c r="DXW2" s="415"/>
      <c r="DXX2" s="415"/>
      <c r="DXY2" s="415"/>
      <c r="DXZ2" s="415"/>
      <c r="DYA2" s="415"/>
      <c r="DYB2" s="415"/>
      <c r="DYC2" s="415"/>
      <c r="DYD2" s="415"/>
      <c r="DYE2" s="415"/>
      <c r="DYF2" s="415"/>
      <c r="DYG2" s="415"/>
      <c r="DYH2" s="415"/>
      <c r="DYI2" s="415"/>
      <c r="DYJ2" s="415"/>
      <c r="DYK2" s="415"/>
      <c r="DYL2" s="415"/>
      <c r="DYM2" s="415"/>
      <c r="DYN2" s="415"/>
      <c r="DYO2" s="415"/>
      <c r="DYP2" s="415"/>
      <c r="DYQ2" s="415"/>
      <c r="DYR2" s="415"/>
      <c r="DYS2" s="415"/>
      <c r="DYT2" s="415"/>
      <c r="DYU2" s="415"/>
      <c r="DYV2" s="415"/>
      <c r="DYW2" s="415"/>
      <c r="DYX2" s="415"/>
      <c r="DYY2" s="415"/>
      <c r="DYZ2" s="415"/>
      <c r="DZA2" s="415"/>
      <c r="DZB2" s="415"/>
      <c r="DZC2" s="415"/>
      <c r="DZD2" s="415"/>
      <c r="DZE2" s="415"/>
      <c r="DZF2" s="415"/>
      <c r="DZG2" s="415"/>
      <c r="DZH2" s="415"/>
      <c r="DZI2" s="415"/>
      <c r="DZJ2" s="415"/>
      <c r="DZK2" s="415"/>
      <c r="DZL2" s="415"/>
      <c r="DZM2" s="415"/>
      <c r="DZN2" s="415"/>
      <c r="DZO2" s="415"/>
      <c r="DZP2" s="415"/>
      <c r="DZQ2" s="415"/>
      <c r="DZR2" s="415"/>
      <c r="DZS2" s="415"/>
      <c r="DZT2" s="415"/>
      <c r="DZU2" s="415"/>
      <c r="DZV2" s="415"/>
      <c r="DZW2" s="415"/>
      <c r="DZX2" s="415"/>
      <c r="DZY2" s="415"/>
      <c r="DZZ2" s="415"/>
      <c r="EAA2" s="415"/>
      <c r="EAB2" s="415"/>
      <c r="EAC2" s="415"/>
      <c r="EAD2" s="415"/>
      <c r="EAE2" s="415"/>
      <c r="EAF2" s="415"/>
      <c r="EAG2" s="415"/>
      <c r="EAH2" s="415"/>
      <c r="EAI2" s="415"/>
      <c r="EAJ2" s="415"/>
      <c r="EAK2" s="415"/>
      <c r="EAL2" s="415"/>
      <c r="EAM2" s="415"/>
      <c r="EAN2" s="415"/>
      <c r="EAO2" s="415"/>
      <c r="EAP2" s="415"/>
      <c r="EAQ2" s="415"/>
      <c r="EAR2" s="415"/>
      <c r="EAS2" s="415"/>
      <c r="EAT2" s="415"/>
      <c r="EAU2" s="415"/>
      <c r="EAV2" s="415"/>
      <c r="EAW2" s="415"/>
      <c r="EAX2" s="415"/>
      <c r="EAY2" s="415"/>
      <c r="EAZ2" s="415"/>
      <c r="EBA2" s="415"/>
      <c r="EBB2" s="415"/>
      <c r="EBC2" s="415"/>
      <c r="EBD2" s="415"/>
      <c r="EBE2" s="415"/>
      <c r="EBF2" s="415"/>
      <c r="EBG2" s="415"/>
      <c r="EBH2" s="415"/>
      <c r="EBI2" s="415"/>
      <c r="EBJ2" s="415"/>
      <c r="EBK2" s="415"/>
      <c r="EBL2" s="415"/>
      <c r="EBM2" s="415"/>
      <c r="EBN2" s="415"/>
      <c r="EBO2" s="415"/>
      <c r="EBP2" s="415"/>
      <c r="EBQ2" s="415"/>
      <c r="EBR2" s="415"/>
      <c r="EBS2" s="415"/>
      <c r="EBT2" s="415"/>
      <c r="EBU2" s="415"/>
      <c r="EBV2" s="415"/>
      <c r="EBW2" s="415"/>
      <c r="EBX2" s="415"/>
      <c r="EBY2" s="415"/>
      <c r="EBZ2" s="415"/>
      <c r="ECA2" s="415"/>
      <c r="ECB2" s="415"/>
      <c r="ECC2" s="415"/>
      <c r="ECD2" s="415"/>
      <c r="ECE2" s="415"/>
      <c r="ECF2" s="415"/>
      <c r="ECG2" s="415"/>
      <c r="ECH2" s="415"/>
      <c r="ECI2" s="415"/>
      <c r="ECJ2" s="415"/>
      <c r="ECK2" s="415"/>
      <c r="ECL2" s="415"/>
      <c r="ECM2" s="415"/>
      <c r="ECN2" s="415"/>
      <c r="ECO2" s="415"/>
      <c r="ECP2" s="415"/>
      <c r="ECQ2" s="415"/>
      <c r="ECR2" s="415"/>
      <c r="ECS2" s="415"/>
      <c r="ECT2" s="415"/>
      <c r="ECU2" s="415"/>
      <c r="ECV2" s="415"/>
      <c r="ECW2" s="415"/>
      <c r="ECX2" s="415"/>
      <c r="ECY2" s="415"/>
      <c r="ECZ2" s="415"/>
      <c r="EDA2" s="415"/>
      <c r="EDB2" s="415"/>
      <c r="EDC2" s="415"/>
      <c r="EDD2" s="415"/>
      <c r="EDE2" s="415"/>
      <c r="EDF2" s="415"/>
      <c r="EDG2" s="415"/>
      <c r="EDH2" s="415"/>
      <c r="EDI2" s="415"/>
      <c r="EDJ2" s="415"/>
      <c r="EDK2" s="415"/>
      <c r="EDL2" s="415"/>
      <c r="EDM2" s="415"/>
      <c r="EDN2" s="415"/>
      <c r="EDO2" s="415"/>
      <c r="EDP2" s="415"/>
      <c r="EDQ2" s="415"/>
      <c r="EDR2" s="415"/>
      <c r="EDS2" s="415"/>
      <c r="EDT2" s="415"/>
      <c r="EDU2" s="415"/>
      <c r="EDV2" s="415"/>
      <c r="EDW2" s="415"/>
      <c r="EDX2" s="415"/>
      <c r="EDY2" s="415"/>
      <c r="EDZ2" s="415"/>
      <c r="EEA2" s="415"/>
      <c r="EEB2" s="415"/>
      <c r="EEC2" s="415"/>
      <c r="EED2" s="415"/>
      <c r="EEE2" s="415"/>
      <c r="EEF2" s="415"/>
      <c r="EEG2" s="415"/>
      <c r="EEH2" s="415"/>
      <c r="EEI2" s="415"/>
      <c r="EEJ2" s="415"/>
      <c r="EEK2" s="415"/>
      <c r="EEL2" s="415"/>
      <c r="EEM2" s="415"/>
      <c r="EEN2" s="415"/>
      <c r="EEO2" s="415"/>
      <c r="EEP2" s="415"/>
      <c r="EEQ2" s="415"/>
      <c r="EER2" s="415"/>
      <c r="EES2" s="415"/>
      <c r="EET2" s="415"/>
      <c r="EEU2" s="415"/>
      <c r="EEV2" s="415"/>
      <c r="EEW2" s="415"/>
      <c r="EEX2" s="415"/>
      <c r="EEY2" s="415"/>
      <c r="EEZ2" s="415"/>
      <c r="EFA2" s="415"/>
      <c r="EFB2" s="415"/>
      <c r="EFC2" s="415"/>
      <c r="EFD2" s="415"/>
      <c r="EFE2" s="415"/>
      <c r="EFF2" s="415"/>
      <c r="EFG2" s="415"/>
      <c r="EFH2" s="415"/>
      <c r="EFI2" s="415"/>
      <c r="EFJ2" s="415"/>
      <c r="EFK2" s="415"/>
      <c r="EFL2" s="415"/>
      <c r="EFM2" s="415"/>
      <c r="EFN2" s="415"/>
      <c r="EFO2" s="415"/>
      <c r="EFP2" s="415"/>
      <c r="EFQ2" s="415"/>
      <c r="EFR2" s="415"/>
      <c r="EFS2" s="415"/>
      <c r="EFT2" s="415"/>
      <c r="EFU2" s="415"/>
      <c r="EFV2" s="415"/>
      <c r="EFW2" s="415"/>
      <c r="EFX2" s="415"/>
      <c r="EFY2" s="415"/>
      <c r="EFZ2" s="415"/>
      <c r="EGA2" s="415"/>
      <c r="EGB2" s="415"/>
      <c r="EGC2" s="415"/>
      <c r="EGD2" s="415"/>
      <c r="EGE2" s="415"/>
      <c r="EGF2" s="415"/>
      <c r="EGG2" s="415"/>
      <c r="EGH2" s="415"/>
      <c r="EGI2" s="415"/>
      <c r="EGJ2" s="415"/>
      <c r="EGK2" s="415"/>
      <c r="EGL2" s="415"/>
      <c r="EGM2" s="415"/>
      <c r="EGN2" s="415"/>
      <c r="EGO2" s="415"/>
      <c r="EGP2" s="415"/>
      <c r="EGQ2" s="415"/>
      <c r="EGR2" s="415"/>
      <c r="EGS2" s="415"/>
      <c r="EGT2" s="415"/>
      <c r="EGU2" s="415"/>
      <c r="EGV2" s="415"/>
      <c r="EGW2" s="415"/>
      <c r="EGX2" s="415"/>
      <c r="EGY2" s="415"/>
      <c r="EGZ2" s="415"/>
      <c r="EHA2" s="415"/>
      <c r="EHB2" s="415"/>
      <c r="EHC2" s="415"/>
      <c r="EHD2" s="415"/>
      <c r="EHE2" s="415"/>
      <c r="EHF2" s="415"/>
      <c r="EHG2" s="415"/>
      <c r="EHH2" s="415"/>
      <c r="EHI2" s="415"/>
      <c r="EHJ2" s="415"/>
      <c r="EHK2" s="415"/>
      <c r="EHL2" s="415"/>
      <c r="EHM2" s="415"/>
      <c r="EHN2" s="415"/>
      <c r="EHO2" s="415"/>
      <c r="EHP2" s="415"/>
      <c r="EHQ2" s="415"/>
      <c r="EHR2" s="415"/>
      <c r="EHS2" s="415"/>
      <c r="EHT2" s="415"/>
      <c r="EHU2" s="415"/>
      <c r="EHV2" s="415"/>
      <c r="EHW2" s="415"/>
      <c r="EHX2" s="415"/>
      <c r="EHY2" s="415"/>
      <c r="EHZ2" s="415"/>
      <c r="EIA2" s="415"/>
      <c r="EIB2" s="415"/>
      <c r="EIC2" s="415"/>
      <c r="EID2" s="415"/>
      <c r="EIE2" s="415"/>
      <c r="EIF2" s="415"/>
      <c r="EIG2" s="415"/>
      <c r="EIH2" s="415"/>
      <c r="EII2" s="415"/>
      <c r="EIJ2" s="415"/>
      <c r="EIK2" s="415"/>
      <c r="EIL2" s="415"/>
      <c r="EIM2" s="415"/>
      <c r="EIN2" s="415"/>
      <c r="EIO2" s="415"/>
      <c r="EIP2" s="415"/>
      <c r="EIQ2" s="415"/>
      <c r="EIR2" s="415"/>
      <c r="EIS2" s="415"/>
      <c r="EIT2" s="415"/>
      <c r="EIU2" s="415"/>
      <c r="EIV2" s="415"/>
      <c r="EIW2" s="415"/>
      <c r="EIX2" s="415"/>
      <c r="EIY2" s="415"/>
      <c r="EIZ2" s="415"/>
      <c r="EJA2" s="415"/>
      <c r="EJB2" s="415"/>
      <c r="EJC2" s="415"/>
      <c r="EJD2" s="415"/>
      <c r="EJE2" s="415"/>
      <c r="EJF2" s="415"/>
      <c r="EJG2" s="415"/>
      <c r="EJH2" s="415"/>
      <c r="EJI2" s="415"/>
      <c r="EJJ2" s="415"/>
      <c r="EJK2" s="415"/>
      <c r="EJL2" s="415"/>
      <c r="EJM2" s="415"/>
      <c r="EJN2" s="415"/>
      <c r="EJO2" s="415"/>
      <c r="EJP2" s="415"/>
      <c r="EJQ2" s="415"/>
      <c r="EJR2" s="415"/>
      <c r="EJS2" s="415"/>
      <c r="EJT2" s="415"/>
      <c r="EJU2" s="415"/>
      <c r="EJV2" s="415"/>
      <c r="EJW2" s="415"/>
      <c r="EJX2" s="415"/>
      <c r="EJY2" s="415"/>
      <c r="EJZ2" s="415"/>
      <c r="EKA2" s="415"/>
      <c r="EKB2" s="415"/>
      <c r="EKC2" s="415"/>
      <c r="EKD2" s="415"/>
      <c r="EKE2" s="415"/>
      <c r="EKF2" s="415"/>
      <c r="EKG2" s="415"/>
      <c r="EKH2" s="415"/>
      <c r="EKI2" s="415"/>
      <c r="EKJ2" s="415"/>
      <c r="EKK2" s="415"/>
      <c r="EKL2" s="415"/>
      <c r="EKM2" s="415"/>
      <c r="EKN2" s="415"/>
      <c r="EKO2" s="415"/>
      <c r="EKP2" s="415"/>
      <c r="EKQ2" s="415"/>
      <c r="EKR2" s="415"/>
      <c r="EKS2" s="415"/>
      <c r="EKT2" s="415"/>
      <c r="EKU2" s="415"/>
      <c r="EKV2" s="415"/>
      <c r="EKW2" s="415"/>
      <c r="EKX2" s="415"/>
      <c r="EKY2" s="415"/>
      <c r="EKZ2" s="415"/>
      <c r="ELA2" s="415"/>
      <c r="ELB2" s="415"/>
      <c r="ELC2" s="415"/>
      <c r="ELD2" s="415"/>
      <c r="ELE2" s="415"/>
      <c r="ELF2" s="415"/>
      <c r="ELG2" s="415"/>
      <c r="ELH2" s="415"/>
      <c r="ELI2" s="415"/>
      <c r="ELJ2" s="415"/>
      <c r="ELK2" s="415"/>
      <c r="ELL2" s="415"/>
      <c r="ELM2" s="415"/>
      <c r="ELN2" s="415"/>
      <c r="ELO2" s="415"/>
      <c r="ELP2" s="415"/>
      <c r="ELQ2" s="415"/>
      <c r="ELR2" s="415"/>
      <c r="ELS2" s="415"/>
      <c r="ELT2" s="415"/>
      <c r="ELU2" s="415"/>
      <c r="ELV2" s="415"/>
      <c r="ELW2" s="415"/>
      <c r="ELX2" s="415"/>
      <c r="ELY2" s="415"/>
      <c r="ELZ2" s="415"/>
      <c r="EMA2" s="415"/>
      <c r="EMB2" s="415"/>
      <c r="EMC2" s="415"/>
      <c r="EMD2" s="415"/>
      <c r="EME2" s="415"/>
      <c r="EMF2" s="415"/>
      <c r="EMG2" s="415"/>
      <c r="EMH2" s="415"/>
      <c r="EMI2" s="415"/>
      <c r="EMJ2" s="415"/>
      <c r="EMK2" s="415"/>
      <c r="EML2" s="415"/>
      <c r="EMM2" s="415"/>
      <c r="EMN2" s="415"/>
      <c r="EMO2" s="415"/>
      <c r="EMP2" s="415"/>
      <c r="EMQ2" s="415"/>
      <c r="EMR2" s="415"/>
      <c r="EMS2" s="415"/>
      <c r="EMT2" s="415"/>
      <c r="EMU2" s="415"/>
      <c r="EMV2" s="415"/>
      <c r="EMW2" s="415"/>
      <c r="EMX2" s="415"/>
      <c r="EMY2" s="415"/>
      <c r="EMZ2" s="415"/>
      <c r="ENA2" s="415"/>
      <c r="ENB2" s="415"/>
      <c r="ENC2" s="415"/>
      <c r="END2" s="415"/>
      <c r="ENE2" s="415"/>
      <c r="ENF2" s="415"/>
      <c r="ENG2" s="415"/>
      <c r="ENH2" s="415"/>
      <c r="ENI2" s="415"/>
      <c r="ENJ2" s="415"/>
      <c r="ENK2" s="415"/>
      <c r="ENL2" s="415"/>
      <c r="ENM2" s="415"/>
      <c r="ENN2" s="415"/>
      <c r="ENO2" s="415"/>
      <c r="ENP2" s="415"/>
      <c r="ENQ2" s="415"/>
      <c r="ENR2" s="415"/>
      <c r="ENS2" s="415"/>
      <c r="ENT2" s="415"/>
      <c r="ENU2" s="415"/>
      <c r="ENV2" s="415"/>
      <c r="ENW2" s="415"/>
      <c r="ENX2" s="415"/>
      <c r="ENY2" s="415"/>
      <c r="ENZ2" s="415"/>
      <c r="EOA2" s="415"/>
      <c r="EOB2" s="415"/>
      <c r="EOC2" s="415"/>
      <c r="EOD2" s="415"/>
      <c r="EOE2" s="415"/>
      <c r="EOF2" s="415"/>
      <c r="EOG2" s="415"/>
      <c r="EOH2" s="415"/>
      <c r="EOI2" s="415"/>
      <c r="EOJ2" s="415"/>
      <c r="EOK2" s="415"/>
      <c r="EOL2" s="415"/>
      <c r="EOM2" s="415"/>
      <c r="EON2" s="415"/>
      <c r="EOO2" s="415"/>
      <c r="EOP2" s="415"/>
      <c r="EOQ2" s="415"/>
      <c r="EOR2" s="415"/>
      <c r="EOS2" s="415"/>
      <c r="EOT2" s="415"/>
      <c r="EOU2" s="415"/>
      <c r="EOV2" s="415"/>
      <c r="EOW2" s="415"/>
      <c r="EOX2" s="415"/>
      <c r="EOY2" s="415"/>
      <c r="EOZ2" s="415"/>
      <c r="EPA2" s="415"/>
      <c r="EPB2" s="415"/>
      <c r="EPC2" s="415"/>
      <c r="EPD2" s="415"/>
      <c r="EPE2" s="415"/>
      <c r="EPF2" s="415"/>
      <c r="EPG2" s="415"/>
      <c r="EPH2" s="415"/>
      <c r="EPI2" s="415"/>
      <c r="EPJ2" s="415"/>
      <c r="EPK2" s="415"/>
      <c r="EPL2" s="415"/>
      <c r="EPM2" s="415"/>
      <c r="EPN2" s="415"/>
      <c r="EPO2" s="415"/>
      <c r="EPP2" s="415"/>
      <c r="EPQ2" s="415"/>
      <c r="EPR2" s="415"/>
      <c r="EPS2" s="415"/>
      <c r="EPT2" s="415"/>
      <c r="EPU2" s="415"/>
      <c r="EPV2" s="415"/>
      <c r="EPW2" s="415"/>
      <c r="EPX2" s="415"/>
      <c r="EPY2" s="415"/>
      <c r="EPZ2" s="415"/>
      <c r="EQA2" s="415"/>
      <c r="EQB2" s="415"/>
      <c r="EQC2" s="415"/>
      <c r="EQD2" s="415"/>
      <c r="EQE2" s="415"/>
      <c r="EQF2" s="415"/>
      <c r="EQG2" s="415"/>
      <c r="EQH2" s="415"/>
      <c r="EQI2" s="415"/>
      <c r="EQJ2" s="415"/>
      <c r="EQK2" s="415"/>
      <c r="EQL2" s="415"/>
      <c r="EQM2" s="415"/>
      <c r="EQN2" s="415"/>
      <c r="EQO2" s="415"/>
      <c r="EQP2" s="415"/>
      <c r="EQQ2" s="415"/>
      <c r="EQR2" s="415"/>
      <c r="EQS2" s="415"/>
      <c r="EQT2" s="415"/>
      <c r="EQU2" s="415"/>
      <c r="EQV2" s="415"/>
      <c r="EQW2" s="415"/>
      <c r="EQX2" s="415"/>
      <c r="EQY2" s="415"/>
      <c r="EQZ2" s="415"/>
      <c r="ERA2" s="415"/>
      <c r="ERB2" s="415"/>
      <c r="ERC2" s="415"/>
      <c r="ERD2" s="415"/>
      <c r="ERE2" s="415"/>
      <c r="ERF2" s="415"/>
      <c r="ERG2" s="415"/>
      <c r="ERH2" s="415"/>
      <c r="ERI2" s="415"/>
      <c r="ERJ2" s="415"/>
      <c r="ERK2" s="415"/>
      <c r="ERL2" s="415"/>
      <c r="ERM2" s="415"/>
      <c r="ERN2" s="415"/>
      <c r="ERO2" s="415"/>
      <c r="ERP2" s="415"/>
      <c r="ERQ2" s="415"/>
      <c r="ERR2" s="415"/>
      <c r="ERS2" s="415"/>
      <c r="ERT2" s="415"/>
      <c r="ERU2" s="415"/>
      <c r="ERV2" s="415"/>
      <c r="ERW2" s="415"/>
      <c r="ERX2" s="415"/>
      <c r="ERY2" s="415"/>
      <c r="ERZ2" s="415"/>
      <c r="ESA2" s="415"/>
      <c r="ESB2" s="415"/>
      <c r="ESC2" s="415"/>
      <c r="ESD2" s="415"/>
      <c r="ESE2" s="415"/>
      <c r="ESF2" s="415"/>
      <c r="ESG2" s="415"/>
      <c r="ESH2" s="415"/>
      <c r="ESI2" s="415"/>
      <c r="ESJ2" s="415"/>
      <c r="ESK2" s="415"/>
      <c r="ESL2" s="415"/>
      <c r="ESM2" s="415"/>
      <c r="ESN2" s="415"/>
      <c r="ESO2" s="415"/>
      <c r="ESP2" s="415"/>
      <c r="ESQ2" s="415"/>
      <c r="ESR2" s="415"/>
      <c r="ESS2" s="415"/>
      <c r="EST2" s="415"/>
      <c r="ESU2" s="415"/>
      <c r="ESV2" s="415"/>
      <c r="ESW2" s="415"/>
      <c r="ESX2" s="415"/>
      <c r="ESY2" s="415"/>
      <c r="ESZ2" s="415"/>
      <c r="ETA2" s="415"/>
      <c r="ETB2" s="415"/>
      <c r="ETC2" s="415"/>
      <c r="ETD2" s="415"/>
      <c r="ETE2" s="415"/>
      <c r="ETF2" s="415"/>
      <c r="ETG2" s="415"/>
      <c r="ETH2" s="415"/>
      <c r="ETI2" s="415"/>
      <c r="ETJ2" s="415"/>
      <c r="ETK2" s="415"/>
      <c r="ETL2" s="415"/>
      <c r="ETM2" s="415"/>
      <c r="ETN2" s="415"/>
      <c r="ETO2" s="415"/>
      <c r="ETP2" s="415"/>
      <c r="ETQ2" s="415"/>
      <c r="ETR2" s="415"/>
      <c r="ETS2" s="415"/>
      <c r="ETT2" s="415"/>
      <c r="ETU2" s="415"/>
      <c r="ETV2" s="415"/>
      <c r="ETW2" s="415"/>
      <c r="ETX2" s="415"/>
      <c r="ETY2" s="415"/>
      <c r="ETZ2" s="415"/>
      <c r="EUA2" s="415"/>
      <c r="EUB2" s="415"/>
      <c r="EUC2" s="415"/>
      <c r="EUD2" s="415"/>
      <c r="EUE2" s="415"/>
      <c r="EUF2" s="415"/>
      <c r="EUG2" s="415"/>
      <c r="EUH2" s="415"/>
      <c r="EUI2" s="415"/>
      <c r="EUJ2" s="415"/>
      <c r="EUK2" s="415"/>
      <c r="EUL2" s="415"/>
      <c r="EUM2" s="415"/>
      <c r="EUN2" s="415"/>
      <c r="EUO2" s="415"/>
      <c r="EUP2" s="415"/>
      <c r="EUQ2" s="415"/>
      <c r="EUR2" s="415"/>
      <c r="EUS2" s="415"/>
      <c r="EUT2" s="415"/>
      <c r="EUU2" s="415"/>
      <c r="EUV2" s="415"/>
      <c r="EUW2" s="415"/>
      <c r="EUX2" s="415"/>
      <c r="EUY2" s="415"/>
      <c r="EUZ2" s="415"/>
      <c r="EVA2" s="415"/>
      <c r="EVB2" s="415"/>
      <c r="EVC2" s="415"/>
      <c r="EVD2" s="415"/>
      <c r="EVE2" s="415"/>
      <c r="EVF2" s="415"/>
      <c r="EVG2" s="415"/>
      <c r="EVH2" s="415"/>
      <c r="EVI2" s="415"/>
      <c r="EVJ2" s="415"/>
      <c r="EVK2" s="415"/>
      <c r="EVL2" s="415"/>
      <c r="EVM2" s="415"/>
      <c r="EVN2" s="415"/>
      <c r="EVO2" s="415"/>
      <c r="EVP2" s="415"/>
      <c r="EVQ2" s="415"/>
      <c r="EVR2" s="415"/>
      <c r="EVS2" s="415"/>
      <c r="EVT2" s="415"/>
      <c r="EVU2" s="415"/>
      <c r="EVV2" s="415"/>
      <c r="EVW2" s="415"/>
      <c r="EVX2" s="415"/>
      <c r="EVY2" s="415"/>
      <c r="EVZ2" s="415"/>
      <c r="EWA2" s="415"/>
      <c r="EWB2" s="415"/>
      <c r="EWC2" s="415"/>
      <c r="EWD2" s="415"/>
      <c r="EWE2" s="415"/>
      <c r="EWF2" s="415"/>
      <c r="EWG2" s="415"/>
      <c r="EWH2" s="415"/>
      <c r="EWI2" s="415"/>
      <c r="EWJ2" s="415"/>
      <c r="EWK2" s="415"/>
      <c r="EWL2" s="415"/>
      <c r="EWM2" s="415"/>
      <c r="EWN2" s="415"/>
      <c r="EWO2" s="415"/>
      <c r="EWP2" s="415"/>
      <c r="EWQ2" s="415"/>
      <c r="EWR2" s="415"/>
      <c r="EWS2" s="415"/>
      <c r="EWT2" s="415"/>
      <c r="EWU2" s="415"/>
      <c r="EWV2" s="415"/>
      <c r="EWW2" s="415"/>
      <c r="EWX2" s="415"/>
      <c r="EWY2" s="415"/>
      <c r="EWZ2" s="415"/>
      <c r="EXA2" s="415"/>
      <c r="EXB2" s="415"/>
      <c r="EXC2" s="415"/>
      <c r="EXD2" s="415"/>
      <c r="EXE2" s="415"/>
      <c r="EXF2" s="415"/>
      <c r="EXG2" s="415"/>
      <c r="EXH2" s="415"/>
      <c r="EXI2" s="415"/>
      <c r="EXJ2" s="415"/>
      <c r="EXK2" s="415"/>
      <c r="EXL2" s="415"/>
      <c r="EXM2" s="415"/>
      <c r="EXN2" s="415"/>
      <c r="EXO2" s="415"/>
      <c r="EXP2" s="415"/>
      <c r="EXQ2" s="415"/>
      <c r="EXR2" s="415"/>
      <c r="EXS2" s="415"/>
      <c r="EXT2" s="415"/>
      <c r="EXU2" s="415"/>
      <c r="EXV2" s="415"/>
      <c r="EXW2" s="415"/>
      <c r="EXX2" s="415"/>
      <c r="EXY2" s="415"/>
      <c r="EXZ2" s="415"/>
      <c r="EYA2" s="415"/>
      <c r="EYB2" s="415"/>
      <c r="EYC2" s="415"/>
      <c r="EYD2" s="415"/>
      <c r="EYE2" s="415"/>
      <c r="EYF2" s="415"/>
      <c r="EYG2" s="415"/>
      <c r="EYH2" s="415"/>
      <c r="EYI2" s="415"/>
      <c r="EYJ2" s="415"/>
      <c r="EYK2" s="415"/>
      <c r="EYL2" s="415"/>
      <c r="EYM2" s="415"/>
      <c r="EYN2" s="415"/>
      <c r="EYO2" s="415"/>
      <c r="EYP2" s="415"/>
      <c r="EYQ2" s="415"/>
      <c r="EYR2" s="415"/>
      <c r="EYS2" s="415"/>
      <c r="EYT2" s="415"/>
      <c r="EYU2" s="415"/>
      <c r="EYV2" s="415"/>
      <c r="EYW2" s="415"/>
      <c r="EYX2" s="415"/>
      <c r="EYY2" s="415"/>
      <c r="EYZ2" s="415"/>
      <c r="EZA2" s="415"/>
      <c r="EZB2" s="415"/>
      <c r="EZC2" s="415"/>
      <c r="EZD2" s="415"/>
      <c r="EZE2" s="415"/>
      <c r="EZF2" s="415"/>
      <c r="EZG2" s="415"/>
      <c r="EZH2" s="415"/>
      <c r="EZI2" s="415"/>
      <c r="EZJ2" s="415"/>
      <c r="EZK2" s="415"/>
      <c r="EZL2" s="415"/>
      <c r="EZM2" s="415"/>
      <c r="EZN2" s="415"/>
      <c r="EZO2" s="415"/>
      <c r="EZP2" s="415"/>
      <c r="EZQ2" s="415"/>
      <c r="EZR2" s="415"/>
      <c r="EZS2" s="415"/>
      <c r="EZT2" s="415"/>
      <c r="EZU2" s="415"/>
      <c r="EZV2" s="415"/>
      <c r="EZW2" s="415"/>
      <c r="EZX2" s="415"/>
      <c r="EZY2" s="415"/>
      <c r="EZZ2" s="415"/>
      <c r="FAA2" s="415"/>
      <c r="FAB2" s="415"/>
      <c r="FAC2" s="415"/>
      <c r="FAD2" s="415"/>
      <c r="FAE2" s="415"/>
      <c r="FAF2" s="415"/>
      <c r="FAG2" s="415"/>
      <c r="FAH2" s="415"/>
      <c r="FAI2" s="415"/>
      <c r="FAJ2" s="415"/>
      <c r="FAK2" s="415"/>
      <c r="FAL2" s="415"/>
      <c r="FAM2" s="415"/>
      <c r="FAN2" s="415"/>
      <c r="FAO2" s="415"/>
      <c r="FAP2" s="415"/>
      <c r="FAQ2" s="415"/>
      <c r="FAR2" s="415"/>
      <c r="FAS2" s="415"/>
      <c r="FAT2" s="415"/>
      <c r="FAU2" s="415"/>
      <c r="FAV2" s="415"/>
      <c r="FAW2" s="415"/>
      <c r="FAX2" s="415"/>
      <c r="FAY2" s="415"/>
      <c r="FAZ2" s="415"/>
      <c r="FBA2" s="415"/>
      <c r="FBB2" s="415"/>
      <c r="FBC2" s="415"/>
      <c r="FBD2" s="415"/>
      <c r="FBE2" s="415"/>
      <c r="FBF2" s="415"/>
      <c r="FBG2" s="415"/>
      <c r="FBH2" s="415"/>
      <c r="FBI2" s="415"/>
      <c r="FBJ2" s="415"/>
      <c r="FBK2" s="415"/>
      <c r="FBL2" s="415"/>
      <c r="FBM2" s="415"/>
      <c r="FBN2" s="415"/>
      <c r="FBO2" s="415"/>
      <c r="FBP2" s="415"/>
      <c r="FBQ2" s="415"/>
      <c r="FBR2" s="415"/>
      <c r="FBS2" s="415"/>
      <c r="FBT2" s="415"/>
      <c r="FBU2" s="415"/>
      <c r="FBV2" s="415"/>
      <c r="FBW2" s="415"/>
      <c r="FBX2" s="415"/>
      <c r="FBY2" s="415"/>
      <c r="FBZ2" s="415"/>
      <c r="FCA2" s="415"/>
      <c r="FCB2" s="415"/>
      <c r="FCC2" s="415"/>
      <c r="FCD2" s="415"/>
      <c r="FCE2" s="415"/>
      <c r="FCF2" s="415"/>
      <c r="FCG2" s="415"/>
      <c r="FCH2" s="415"/>
      <c r="FCI2" s="415"/>
      <c r="FCJ2" s="415"/>
      <c r="FCK2" s="415"/>
      <c r="FCL2" s="415"/>
      <c r="FCM2" s="415"/>
      <c r="FCN2" s="415"/>
      <c r="FCO2" s="415"/>
      <c r="FCP2" s="415"/>
      <c r="FCQ2" s="415"/>
      <c r="FCR2" s="415"/>
      <c r="FCS2" s="415"/>
      <c r="FCT2" s="415"/>
      <c r="FCU2" s="415"/>
      <c r="FCV2" s="415"/>
      <c r="FCW2" s="415"/>
      <c r="FCX2" s="415"/>
      <c r="FCY2" s="415"/>
      <c r="FCZ2" s="415"/>
      <c r="FDA2" s="415"/>
      <c r="FDB2" s="415"/>
      <c r="FDC2" s="415"/>
      <c r="FDD2" s="415"/>
      <c r="FDE2" s="415"/>
      <c r="FDF2" s="415"/>
      <c r="FDG2" s="415"/>
      <c r="FDH2" s="415"/>
      <c r="FDI2" s="415"/>
      <c r="FDJ2" s="415"/>
      <c r="FDK2" s="415"/>
      <c r="FDL2" s="415"/>
      <c r="FDM2" s="415"/>
      <c r="FDN2" s="415"/>
      <c r="FDO2" s="415"/>
      <c r="FDP2" s="415"/>
      <c r="FDQ2" s="415"/>
      <c r="FDR2" s="415"/>
      <c r="FDS2" s="415"/>
      <c r="FDT2" s="415"/>
      <c r="FDU2" s="415"/>
      <c r="FDV2" s="415"/>
      <c r="FDW2" s="415"/>
      <c r="FDX2" s="415"/>
      <c r="FDY2" s="415"/>
      <c r="FDZ2" s="415"/>
      <c r="FEA2" s="415"/>
      <c r="FEB2" s="415"/>
      <c r="FEC2" s="415"/>
      <c r="FED2" s="415"/>
      <c r="FEE2" s="415"/>
      <c r="FEF2" s="415"/>
      <c r="FEG2" s="415"/>
      <c r="FEH2" s="415"/>
      <c r="FEI2" s="415"/>
      <c r="FEJ2" s="415"/>
      <c r="FEK2" s="415"/>
      <c r="FEL2" s="415"/>
      <c r="FEM2" s="415"/>
      <c r="FEN2" s="415"/>
      <c r="FEO2" s="415"/>
      <c r="FEP2" s="415"/>
      <c r="FEQ2" s="415"/>
      <c r="FER2" s="415"/>
      <c r="FES2" s="415"/>
      <c r="FET2" s="415"/>
      <c r="FEU2" s="415"/>
      <c r="FEV2" s="415"/>
      <c r="FEW2" s="415"/>
      <c r="FEX2" s="415"/>
      <c r="FEY2" s="415"/>
      <c r="FEZ2" s="415"/>
      <c r="FFA2" s="415"/>
      <c r="FFB2" s="415"/>
      <c r="FFC2" s="415"/>
      <c r="FFD2" s="415"/>
      <c r="FFE2" s="415"/>
      <c r="FFF2" s="415"/>
      <c r="FFG2" s="415"/>
      <c r="FFH2" s="415"/>
      <c r="FFI2" s="415"/>
      <c r="FFJ2" s="415"/>
      <c r="FFK2" s="415"/>
      <c r="FFL2" s="415"/>
      <c r="FFM2" s="415"/>
      <c r="FFN2" s="415"/>
      <c r="FFO2" s="415"/>
      <c r="FFP2" s="415"/>
      <c r="FFQ2" s="415"/>
      <c r="FFR2" s="415"/>
      <c r="FFS2" s="415"/>
      <c r="FFT2" s="415"/>
      <c r="FFU2" s="415"/>
      <c r="FFV2" s="415"/>
      <c r="FFW2" s="415"/>
      <c r="FFX2" s="415"/>
      <c r="FFY2" s="415"/>
      <c r="FFZ2" s="415"/>
      <c r="FGA2" s="415"/>
      <c r="FGB2" s="415"/>
      <c r="FGC2" s="415"/>
      <c r="FGD2" s="415"/>
      <c r="FGE2" s="415"/>
      <c r="FGF2" s="415"/>
      <c r="FGG2" s="415"/>
      <c r="FGH2" s="415"/>
      <c r="FGI2" s="415"/>
      <c r="FGJ2" s="415"/>
      <c r="FGK2" s="415"/>
      <c r="FGL2" s="415"/>
      <c r="FGM2" s="415"/>
      <c r="FGN2" s="415"/>
      <c r="FGO2" s="415"/>
      <c r="FGP2" s="415"/>
      <c r="FGQ2" s="415"/>
      <c r="FGR2" s="415"/>
      <c r="FGS2" s="415"/>
      <c r="FGT2" s="415"/>
      <c r="FGU2" s="415"/>
      <c r="FGV2" s="415"/>
      <c r="FGW2" s="415"/>
      <c r="FGX2" s="415"/>
      <c r="FGY2" s="415"/>
      <c r="FGZ2" s="415"/>
      <c r="FHA2" s="415"/>
      <c r="FHB2" s="415"/>
      <c r="FHC2" s="415"/>
      <c r="FHD2" s="415"/>
      <c r="FHE2" s="415"/>
      <c r="FHF2" s="415"/>
      <c r="FHG2" s="415"/>
      <c r="FHH2" s="415"/>
      <c r="FHI2" s="415"/>
      <c r="FHJ2" s="415"/>
      <c r="FHK2" s="415"/>
      <c r="FHL2" s="415"/>
      <c r="FHM2" s="415"/>
      <c r="FHN2" s="415"/>
      <c r="FHO2" s="415"/>
      <c r="FHP2" s="415"/>
      <c r="FHQ2" s="415"/>
      <c r="FHR2" s="415"/>
      <c r="FHS2" s="415"/>
      <c r="FHT2" s="415"/>
      <c r="FHU2" s="415"/>
      <c r="FHV2" s="415"/>
      <c r="FHW2" s="415"/>
      <c r="FHX2" s="415"/>
      <c r="FHY2" s="415"/>
      <c r="FHZ2" s="415"/>
      <c r="FIA2" s="415"/>
      <c r="FIB2" s="415"/>
      <c r="FIC2" s="415"/>
      <c r="FID2" s="415"/>
      <c r="FIE2" s="415"/>
      <c r="FIF2" s="415"/>
      <c r="FIG2" s="415"/>
      <c r="FIH2" s="415"/>
      <c r="FII2" s="415"/>
      <c r="FIJ2" s="415"/>
      <c r="FIK2" s="415"/>
      <c r="FIL2" s="415"/>
      <c r="FIM2" s="415"/>
      <c r="FIN2" s="415"/>
      <c r="FIO2" s="415"/>
      <c r="FIP2" s="415"/>
      <c r="FIQ2" s="415"/>
      <c r="FIR2" s="415"/>
      <c r="FIS2" s="415"/>
      <c r="FIT2" s="415"/>
      <c r="FIU2" s="415"/>
      <c r="FIV2" s="415"/>
      <c r="FIW2" s="415"/>
      <c r="FIX2" s="415"/>
      <c r="FIY2" s="415"/>
      <c r="FIZ2" s="415"/>
      <c r="FJA2" s="415"/>
      <c r="FJB2" s="415"/>
      <c r="FJC2" s="415"/>
      <c r="FJD2" s="415"/>
      <c r="FJE2" s="415"/>
      <c r="FJF2" s="415"/>
      <c r="FJG2" s="415"/>
      <c r="FJH2" s="415"/>
      <c r="FJI2" s="415"/>
      <c r="FJJ2" s="415"/>
      <c r="FJK2" s="415"/>
      <c r="FJL2" s="415"/>
      <c r="FJM2" s="415"/>
      <c r="FJN2" s="415"/>
      <c r="FJO2" s="415"/>
      <c r="FJP2" s="415"/>
      <c r="FJQ2" s="415"/>
      <c r="FJR2" s="415"/>
      <c r="FJS2" s="415"/>
      <c r="FJT2" s="415"/>
      <c r="FJU2" s="415"/>
      <c r="FJV2" s="415"/>
      <c r="FJW2" s="415"/>
      <c r="FJX2" s="415"/>
      <c r="FJY2" s="415"/>
      <c r="FJZ2" s="415"/>
      <c r="FKA2" s="415"/>
      <c r="FKB2" s="415"/>
      <c r="FKC2" s="415"/>
      <c r="FKD2" s="415"/>
      <c r="FKE2" s="415"/>
      <c r="FKF2" s="415"/>
      <c r="FKG2" s="415"/>
      <c r="FKH2" s="415"/>
      <c r="FKI2" s="415"/>
      <c r="FKJ2" s="415"/>
      <c r="FKK2" s="415"/>
      <c r="FKL2" s="415"/>
      <c r="FKM2" s="415"/>
      <c r="FKN2" s="415"/>
      <c r="FKO2" s="415"/>
      <c r="FKP2" s="415"/>
      <c r="FKQ2" s="415"/>
      <c r="FKR2" s="415"/>
      <c r="FKS2" s="415"/>
      <c r="FKT2" s="415"/>
      <c r="FKU2" s="415"/>
      <c r="FKV2" s="415"/>
      <c r="FKW2" s="415"/>
      <c r="FKX2" s="415"/>
      <c r="FKY2" s="415"/>
      <c r="FKZ2" s="415"/>
      <c r="FLA2" s="415"/>
      <c r="FLB2" s="415"/>
      <c r="FLC2" s="415"/>
      <c r="FLD2" s="415"/>
      <c r="FLE2" s="415"/>
      <c r="FLF2" s="415"/>
      <c r="FLG2" s="415"/>
      <c r="FLH2" s="415"/>
      <c r="FLI2" s="415"/>
      <c r="FLJ2" s="415"/>
      <c r="FLK2" s="415"/>
      <c r="FLL2" s="415"/>
      <c r="FLM2" s="415"/>
      <c r="FLN2" s="415"/>
      <c r="FLO2" s="415"/>
      <c r="FLP2" s="415"/>
      <c r="FLQ2" s="415"/>
      <c r="FLR2" s="415"/>
      <c r="FLS2" s="415"/>
      <c r="FLT2" s="415"/>
      <c r="FLU2" s="415"/>
      <c r="FLV2" s="415"/>
      <c r="FLW2" s="415"/>
      <c r="FLX2" s="415"/>
      <c r="FLY2" s="415"/>
      <c r="FLZ2" s="415"/>
      <c r="FMA2" s="415"/>
      <c r="FMB2" s="415"/>
      <c r="FMC2" s="415"/>
      <c r="FMD2" s="415"/>
      <c r="FME2" s="415"/>
      <c r="FMF2" s="415"/>
      <c r="FMG2" s="415"/>
      <c r="FMH2" s="415"/>
      <c r="FMI2" s="415"/>
      <c r="FMJ2" s="415"/>
      <c r="FMK2" s="415"/>
      <c r="FML2" s="415"/>
      <c r="FMM2" s="415"/>
      <c r="FMN2" s="415"/>
      <c r="FMO2" s="415"/>
      <c r="FMP2" s="415"/>
      <c r="FMQ2" s="415"/>
      <c r="FMR2" s="415"/>
      <c r="FMS2" s="415"/>
      <c r="FMT2" s="415"/>
      <c r="FMU2" s="415"/>
      <c r="FMV2" s="415"/>
      <c r="FMW2" s="415"/>
      <c r="FMX2" s="415"/>
      <c r="FMY2" s="415"/>
      <c r="FMZ2" s="415"/>
      <c r="FNA2" s="415"/>
      <c r="FNB2" s="415"/>
      <c r="FNC2" s="415"/>
      <c r="FND2" s="415"/>
      <c r="FNE2" s="415"/>
      <c r="FNF2" s="415"/>
      <c r="FNG2" s="415"/>
      <c r="FNH2" s="415"/>
      <c r="FNI2" s="415"/>
      <c r="FNJ2" s="415"/>
      <c r="FNK2" s="415"/>
      <c r="FNL2" s="415"/>
      <c r="FNM2" s="415"/>
      <c r="FNN2" s="415"/>
      <c r="FNO2" s="415"/>
      <c r="FNP2" s="415"/>
      <c r="FNQ2" s="415"/>
      <c r="FNR2" s="415"/>
      <c r="FNS2" s="415"/>
      <c r="FNT2" s="415"/>
      <c r="FNU2" s="415"/>
      <c r="FNV2" s="415"/>
      <c r="FNW2" s="415"/>
      <c r="FNX2" s="415"/>
      <c r="FNY2" s="415"/>
      <c r="FNZ2" s="415"/>
      <c r="FOA2" s="415"/>
      <c r="FOB2" s="415"/>
      <c r="FOC2" s="415"/>
      <c r="FOD2" s="415"/>
      <c r="FOE2" s="415"/>
      <c r="FOF2" s="415"/>
      <c r="FOG2" s="415"/>
      <c r="FOH2" s="415"/>
      <c r="FOI2" s="415"/>
      <c r="FOJ2" s="415"/>
      <c r="FOK2" s="415"/>
      <c r="FOL2" s="415"/>
      <c r="FOM2" s="415"/>
      <c r="FON2" s="415"/>
      <c r="FOO2" s="415"/>
      <c r="FOP2" s="415"/>
      <c r="FOQ2" s="415"/>
      <c r="FOR2" s="415"/>
      <c r="FOS2" s="415"/>
      <c r="FOT2" s="415"/>
      <c r="FOU2" s="415"/>
      <c r="FOV2" s="415"/>
      <c r="FOW2" s="415"/>
      <c r="FOX2" s="415"/>
      <c r="FOY2" s="415"/>
      <c r="FOZ2" s="415"/>
      <c r="FPA2" s="415"/>
      <c r="FPB2" s="415"/>
      <c r="FPC2" s="415"/>
      <c r="FPD2" s="415"/>
      <c r="FPE2" s="415"/>
      <c r="FPF2" s="415"/>
      <c r="FPG2" s="415"/>
      <c r="FPH2" s="415"/>
      <c r="FPI2" s="415"/>
      <c r="FPJ2" s="415"/>
      <c r="FPK2" s="415"/>
      <c r="FPL2" s="415"/>
      <c r="FPM2" s="415"/>
      <c r="FPN2" s="415"/>
      <c r="FPO2" s="415"/>
      <c r="FPP2" s="415"/>
      <c r="FPQ2" s="415"/>
      <c r="FPR2" s="415"/>
      <c r="FPS2" s="415"/>
      <c r="FPT2" s="415"/>
      <c r="FPU2" s="415"/>
      <c r="FPV2" s="415"/>
      <c r="FPW2" s="415"/>
      <c r="FPX2" s="415"/>
      <c r="FPY2" s="415"/>
      <c r="FPZ2" s="415"/>
      <c r="FQA2" s="415"/>
      <c r="FQB2" s="415"/>
      <c r="FQC2" s="415"/>
      <c r="FQD2" s="415"/>
      <c r="FQE2" s="415"/>
      <c r="FQF2" s="415"/>
      <c r="FQG2" s="415"/>
      <c r="FQH2" s="415"/>
      <c r="FQI2" s="415"/>
      <c r="FQJ2" s="415"/>
      <c r="FQK2" s="415"/>
      <c r="FQL2" s="415"/>
      <c r="FQM2" s="415"/>
      <c r="FQN2" s="415"/>
      <c r="FQO2" s="415"/>
      <c r="FQP2" s="415"/>
      <c r="FQQ2" s="415"/>
      <c r="FQR2" s="415"/>
      <c r="FQS2" s="415"/>
      <c r="FQT2" s="415"/>
      <c r="FQU2" s="415"/>
      <c r="FQV2" s="415"/>
      <c r="FQW2" s="415"/>
      <c r="FQX2" s="415"/>
      <c r="FQY2" s="415"/>
      <c r="FQZ2" s="415"/>
      <c r="FRA2" s="415"/>
      <c r="FRB2" s="415"/>
      <c r="FRC2" s="415"/>
      <c r="FRD2" s="415"/>
      <c r="FRE2" s="415"/>
      <c r="FRF2" s="415"/>
      <c r="FRG2" s="415"/>
      <c r="FRH2" s="415"/>
      <c r="FRI2" s="415"/>
      <c r="FRJ2" s="415"/>
      <c r="FRK2" s="415"/>
      <c r="FRL2" s="415"/>
      <c r="FRM2" s="415"/>
      <c r="FRN2" s="415"/>
      <c r="FRO2" s="415"/>
      <c r="FRP2" s="415"/>
      <c r="FRQ2" s="415"/>
      <c r="FRR2" s="415"/>
      <c r="FRS2" s="415"/>
      <c r="FRT2" s="415"/>
      <c r="FRU2" s="415"/>
      <c r="FRV2" s="415"/>
      <c r="FRW2" s="415"/>
      <c r="FRX2" s="415"/>
      <c r="FRY2" s="415"/>
      <c r="FRZ2" s="415"/>
      <c r="FSA2" s="415"/>
      <c r="FSB2" s="415"/>
      <c r="FSC2" s="415"/>
      <c r="FSD2" s="415"/>
      <c r="FSE2" s="415"/>
      <c r="FSF2" s="415"/>
      <c r="FSG2" s="415"/>
      <c r="FSH2" s="415"/>
      <c r="FSI2" s="415"/>
      <c r="FSJ2" s="415"/>
      <c r="FSK2" s="415"/>
      <c r="FSL2" s="415"/>
      <c r="FSM2" s="415"/>
      <c r="FSN2" s="415"/>
      <c r="FSO2" s="415"/>
      <c r="FSP2" s="415"/>
      <c r="FSQ2" s="415"/>
      <c r="FSR2" s="415"/>
      <c r="FSS2" s="415"/>
      <c r="FST2" s="415"/>
      <c r="FSU2" s="415"/>
      <c r="FSV2" s="415"/>
      <c r="FSW2" s="415"/>
      <c r="FSX2" s="415"/>
      <c r="FSY2" s="415"/>
      <c r="FSZ2" s="415"/>
      <c r="FTA2" s="415"/>
      <c r="FTB2" s="415"/>
      <c r="FTC2" s="415"/>
      <c r="FTD2" s="415"/>
      <c r="FTE2" s="415"/>
      <c r="FTF2" s="415"/>
      <c r="FTG2" s="415"/>
      <c r="FTH2" s="415"/>
      <c r="FTI2" s="415"/>
      <c r="FTJ2" s="415"/>
      <c r="FTK2" s="415"/>
      <c r="FTL2" s="415"/>
      <c r="FTM2" s="415"/>
      <c r="FTN2" s="415"/>
      <c r="FTO2" s="415"/>
      <c r="FTP2" s="415"/>
      <c r="FTQ2" s="415"/>
      <c r="FTR2" s="415"/>
      <c r="FTS2" s="415"/>
      <c r="FTT2" s="415"/>
      <c r="FTU2" s="415"/>
      <c r="FTV2" s="415"/>
      <c r="FTW2" s="415"/>
      <c r="FTX2" s="415"/>
      <c r="FTY2" s="415"/>
      <c r="FTZ2" s="415"/>
      <c r="FUA2" s="415"/>
      <c r="FUB2" s="415"/>
      <c r="FUC2" s="415"/>
      <c r="FUD2" s="415"/>
      <c r="FUE2" s="415"/>
      <c r="FUF2" s="415"/>
      <c r="FUG2" s="415"/>
      <c r="FUH2" s="415"/>
      <c r="FUI2" s="415"/>
      <c r="FUJ2" s="415"/>
      <c r="FUK2" s="415"/>
      <c r="FUL2" s="415"/>
      <c r="FUM2" s="415"/>
      <c r="FUN2" s="415"/>
      <c r="FUO2" s="415"/>
      <c r="FUP2" s="415"/>
      <c r="FUQ2" s="415"/>
      <c r="FUR2" s="415"/>
      <c r="FUS2" s="415"/>
      <c r="FUT2" s="415"/>
      <c r="FUU2" s="415"/>
      <c r="FUV2" s="415"/>
      <c r="FUW2" s="415"/>
      <c r="FUX2" s="415"/>
      <c r="FUY2" s="415"/>
      <c r="FUZ2" s="415"/>
      <c r="FVA2" s="415"/>
      <c r="FVB2" s="415"/>
      <c r="FVC2" s="415"/>
      <c r="FVD2" s="415"/>
      <c r="FVE2" s="415"/>
      <c r="FVF2" s="415"/>
      <c r="FVG2" s="415"/>
      <c r="FVH2" s="415"/>
      <c r="FVI2" s="415"/>
      <c r="FVJ2" s="415"/>
      <c r="FVK2" s="415"/>
      <c r="FVL2" s="415"/>
      <c r="FVM2" s="415"/>
      <c r="FVN2" s="415"/>
      <c r="FVO2" s="415"/>
      <c r="FVP2" s="415"/>
      <c r="FVQ2" s="415"/>
      <c r="FVR2" s="415"/>
      <c r="FVS2" s="415"/>
      <c r="FVT2" s="415"/>
      <c r="FVU2" s="415"/>
      <c r="FVV2" s="415"/>
      <c r="FVW2" s="415"/>
      <c r="FVX2" s="415"/>
      <c r="FVY2" s="415"/>
      <c r="FVZ2" s="415"/>
      <c r="FWA2" s="415"/>
      <c r="FWB2" s="415"/>
      <c r="FWC2" s="415"/>
      <c r="FWD2" s="415"/>
      <c r="FWE2" s="415"/>
      <c r="FWF2" s="415"/>
      <c r="FWG2" s="415"/>
      <c r="FWH2" s="415"/>
      <c r="FWI2" s="415"/>
      <c r="FWJ2" s="415"/>
      <c r="FWK2" s="415"/>
      <c r="FWL2" s="415"/>
      <c r="FWM2" s="415"/>
      <c r="FWN2" s="415"/>
      <c r="FWO2" s="415"/>
      <c r="FWP2" s="415"/>
      <c r="FWQ2" s="415"/>
      <c r="FWR2" s="415"/>
      <c r="FWS2" s="415"/>
      <c r="FWT2" s="415"/>
      <c r="FWU2" s="415"/>
      <c r="FWV2" s="415"/>
      <c r="FWW2" s="415"/>
      <c r="FWX2" s="415"/>
      <c r="FWY2" s="415"/>
      <c r="FWZ2" s="415"/>
      <c r="FXA2" s="415"/>
      <c r="FXB2" s="415"/>
      <c r="FXC2" s="415"/>
      <c r="FXD2" s="415"/>
      <c r="FXE2" s="415"/>
      <c r="FXF2" s="415"/>
      <c r="FXG2" s="415"/>
      <c r="FXH2" s="415"/>
      <c r="FXI2" s="415"/>
      <c r="FXJ2" s="415"/>
      <c r="FXK2" s="415"/>
      <c r="FXL2" s="415"/>
      <c r="FXM2" s="415"/>
      <c r="FXN2" s="415"/>
      <c r="FXO2" s="415"/>
      <c r="FXP2" s="415"/>
      <c r="FXQ2" s="415"/>
      <c r="FXR2" s="415"/>
      <c r="FXS2" s="415"/>
      <c r="FXT2" s="415"/>
      <c r="FXU2" s="415"/>
      <c r="FXV2" s="415"/>
      <c r="FXW2" s="415"/>
      <c r="FXX2" s="415"/>
      <c r="FXY2" s="415"/>
      <c r="FXZ2" s="415"/>
      <c r="FYA2" s="415"/>
      <c r="FYB2" s="415"/>
      <c r="FYC2" s="415"/>
      <c r="FYD2" s="415"/>
      <c r="FYE2" s="415"/>
      <c r="FYF2" s="415"/>
      <c r="FYG2" s="415"/>
      <c r="FYH2" s="415"/>
      <c r="FYI2" s="415"/>
      <c r="FYJ2" s="415"/>
      <c r="FYK2" s="415"/>
      <c r="FYL2" s="415"/>
      <c r="FYM2" s="415"/>
      <c r="FYN2" s="415"/>
      <c r="FYO2" s="415"/>
      <c r="FYP2" s="415"/>
      <c r="FYQ2" s="415"/>
      <c r="FYR2" s="415"/>
      <c r="FYS2" s="415"/>
      <c r="FYT2" s="415"/>
      <c r="FYU2" s="415"/>
      <c r="FYV2" s="415"/>
      <c r="FYW2" s="415"/>
      <c r="FYX2" s="415"/>
      <c r="FYY2" s="415"/>
      <c r="FYZ2" s="415"/>
      <c r="FZA2" s="415"/>
      <c r="FZB2" s="415"/>
      <c r="FZC2" s="415"/>
      <c r="FZD2" s="415"/>
      <c r="FZE2" s="415"/>
      <c r="FZF2" s="415"/>
      <c r="FZG2" s="415"/>
      <c r="FZH2" s="415"/>
      <c r="FZI2" s="415"/>
      <c r="FZJ2" s="415"/>
      <c r="FZK2" s="415"/>
      <c r="FZL2" s="415"/>
      <c r="FZM2" s="415"/>
      <c r="FZN2" s="415"/>
      <c r="FZO2" s="415"/>
      <c r="FZP2" s="415"/>
      <c r="FZQ2" s="415"/>
      <c r="FZR2" s="415"/>
      <c r="FZS2" s="415"/>
      <c r="FZT2" s="415"/>
      <c r="FZU2" s="415"/>
      <c r="FZV2" s="415"/>
      <c r="FZW2" s="415"/>
      <c r="FZX2" s="415"/>
      <c r="FZY2" s="415"/>
      <c r="FZZ2" s="415"/>
      <c r="GAA2" s="415"/>
      <c r="GAB2" s="415"/>
      <c r="GAC2" s="415"/>
      <c r="GAD2" s="415"/>
      <c r="GAE2" s="415"/>
      <c r="GAF2" s="415"/>
      <c r="GAG2" s="415"/>
      <c r="GAH2" s="415"/>
      <c r="GAI2" s="415"/>
      <c r="GAJ2" s="415"/>
      <c r="GAK2" s="415"/>
      <c r="GAL2" s="415"/>
      <c r="GAM2" s="415"/>
      <c r="GAN2" s="415"/>
      <c r="GAO2" s="415"/>
      <c r="GAP2" s="415"/>
      <c r="GAQ2" s="415"/>
      <c r="GAR2" s="415"/>
      <c r="GAS2" s="415"/>
      <c r="GAT2" s="415"/>
      <c r="GAU2" s="415"/>
      <c r="GAV2" s="415"/>
      <c r="GAW2" s="415"/>
      <c r="GAX2" s="415"/>
      <c r="GAY2" s="415"/>
      <c r="GAZ2" s="415"/>
      <c r="GBA2" s="415"/>
      <c r="GBB2" s="415"/>
      <c r="GBC2" s="415"/>
      <c r="GBD2" s="415"/>
      <c r="GBE2" s="415"/>
      <c r="GBF2" s="415"/>
      <c r="GBG2" s="415"/>
      <c r="GBH2" s="415"/>
      <c r="GBI2" s="415"/>
      <c r="GBJ2" s="415"/>
      <c r="GBK2" s="415"/>
      <c r="GBL2" s="415"/>
      <c r="GBM2" s="415"/>
      <c r="GBN2" s="415"/>
      <c r="GBO2" s="415"/>
      <c r="GBP2" s="415"/>
      <c r="GBQ2" s="415"/>
      <c r="GBR2" s="415"/>
      <c r="GBS2" s="415"/>
      <c r="GBT2" s="415"/>
      <c r="GBU2" s="415"/>
      <c r="GBV2" s="415"/>
      <c r="GBW2" s="415"/>
      <c r="GBX2" s="415"/>
      <c r="GBY2" s="415"/>
      <c r="GBZ2" s="415"/>
      <c r="GCA2" s="415"/>
      <c r="GCB2" s="415"/>
      <c r="GCC2" s="415"/>
      <c r="GCD2" s="415"/>
      <c r="GCE2" s="415"/>
      <c r="GCF2" s="415"/>
      <c r="GCG2" s="415"/>
      <c r="GCH2" s="415"/>
      <c r="GCI2" s="415"/>
      <c r="GCJ2" s="415"/>
      <c r="GCK2" s="415"/>
      <c r="GCL2" s="415"/>
      <c r="GCM2" s="415"/>
      <c r="GCN2" s="415"/>
      <c r="GCO2" s="415"/>
      <c r="GCP2" s="415"/>
      <c r="GCQ2" s="415"/>
      <c r="GCR2" s="415"/>
      <c r="GCS2" s="415"/>
      <c r="GCT2" s="415"/>
      <c r="GCU2" s="415"/>
      <c r="GCV2" s="415"/>
      <c r="GCW2" s="415"/>
      <c r="GCX2" s="415"/>
      <c r="GCY2" s="415"/>
      <c r="GCZ2" s="415"/>
      <c r="GDA2" s="415"/>
      <c r="GDB2" s="415"/>
      <c r="GDC2" s="415"/>
      <c r="GDD2" s="415"/>
      <c r="GDE2" s="415"/>
      <c r="GDF2" s="415"/>
      <c r="GDG2" s="415"/>
      <c r="GDH2" s="415"/>
      <c r="GDI2" s="415"/>
      <c r="GDJ2" s="415"/>
      <c r="GDK2" s="415"/>
      <c r="GDL2" s="415"/>
      <c r="GDM2" s="415"/>
      <c r="GDN2" s="415"/>
      <c r="GDO2" s="415"/>
      <c r="GDP2" s="415"/>
      <c r="GDQ2" s="415"/>
      <c r="GDR2" s="415"/>
      <c r="GDS2" s="415"/>
      <c r="GDT2" s="415"/>
      <c r="GDU2" s="415"/>
      <c r="GDV2" s="415"/>
      <c r="GDW2" s="415"/>
      <c r="GDX2" s="415"/>
      <c r="GDY2" s="415"/>
      <c r="GDZ2" s="415"/>
      <c r="GEA2" s="415"/>
      <c r="GEB2" s="415"/>
      <c r="GEC2" s="415"/>
      <c r="GED2" s="415"/>
      <c r="GEE2" s="415"/>
      <c r="GEF2" s="415"/>
      <c r="GEG2" s="415"/>
      <c r="GEH2" s="415"/>
      <c r="GEI2" s="415"/>
      <c r="GEJ2" s="415"/>
      <c r="GEK2" s="415"/>
      <c r="GEL2" s="415"/>
      <c r="GEM2" s="415"/>
      <c r="GEN2" s="415"/>
      <c r="GEO2" s="415"/>
      <c r="GEP2" s="415"/>
      <c r="GEQ2" s="415"/>
      <c r="GER2" s="415"/>
      <c r="GES2" s="415"/>
      <c r="GET2" s="415"/>
      <c r="GEU2" s="415"/>
      <c r="GEV2" s="415"/>
      <c r="GEW2" s="415"/>
      <c r="GEX2" s="415"/>
      <c r="GEY2" s="415"/>
      <c r="GEZ2" s="415"/>
      <c r="GFA2" s="415"/>
      <c r="GFB2" s="415"/>
      <c r="GFC2" s="415"/>
      <c r="GFD2" s="415"/>
      <c r="GFE2" s="415"/>
      <c r="GFF2" s="415"/>
      <c r="GFG2" s="415"/>
      <c r="GFH2" s="415"/>
      <c r="GFI2" s="415"/>
      <c r="GFJ2" s="415"/>
      <c r="GFK2" s="415"/>
      <c r="GFL2" s="415"/>
      <c r="GFM2" s="415"/>
      <c r="GFN2" s="415"/>
      <c r="GFO2" s="415"/>
      <c r="GFP2" s="415"/>
      <c r="GFQ2" s="415"/>
      <c r="GFR2" s="415"/>
      <c r="GFS2" s="415"/>
      <c r="GFT2" s="415"/>
      <c r="GFU2" s="415"/>
      <c r="GFV2" s="415"/>
      <c r="GFW2" s="415"/>
      <c r="GFX2" s="415"/>
      <c r="GFY2" s="415"/>
      <c r="GFZ2" s="415"/>
      <c r="GGA2" s="415"/>
      <c r="GGB2" s="415"/>
      <c r="GGC2" s="415"/>
      <c r="GGD2" s="415"/>
      <c r="GGE2" s="415"/>
      <c r="GGF2" s="415"/>
      <c r="GGG2" s="415"/>
      <c r="GGH2" s="415"/>
      <c r="GGI2" s="415"/>
      <c r="GGJ2" s="415"/>
      <c r="GGK2" s="415"/>
      <c r="GGL2" s="415"/>
      <c r="GGM2" s="415"/>
      <c r="GGN2" s="415"/>
      <c r="GGO2" s="415"/>
      <c r="GGP2" s="415"/>
      <c r="GGQ2" s="415"/>
      <c r="GGR2" s="415"/>
      <c r="GGS2" s="415"/>
      <c r="GGT2" s="415"/>
      <c r="GGU2" s="415"/>
      <c r="GGV2" s="415"/>
      <c r="GGW2" s="415"/>
      <c r="GGX2" s="415"/>
      <c r="GGY2" s="415"/>
      <c r="GGZ2" s="415"/>
      <c r="GHA2" s="415"/>
      <c r="GHB2" s="415"/>
      <c r="GHC2" s="415"/>
      <c r="GHD2" s="415"/>
      <c r="GHE2" s="415"/>
      <c r="GHF2" s="415"/>
      <c r="GHG2" s="415"/>
      <c r="GHH2" s="415"/>
      <c r="GHI2" s="415"/>
      <c r="GHJ2" s="415"/>
      <c r="GHK2" s="415"/>
      <c r="GHL2" s="415"/>
      <c r="GHM2" s="415"/>
      <c r="GHN2" s="415"/>
      <c r="GHO2" s="415"/>
      <c r="GHP2" s="415"/>
      <c r="GHQ2" s="415"/>
      <c r="GHR2" s="415"/>
      <c r="GHS2" s="415"/>
      <c r="GHT2" s="415"/>
      <c r="GHU2" s="415"/>
      <c r="GHV2" s="415"/>
      <c r="GHW2" s="415"/>
      <c r="GHX2" s="415"/>
      <c r="GHY2" s="415"/>
      <c r="GHZ2" s="415"/>
      <c r="GIA2" s="415"/>
      <c r="GIB2" s="415"/>
      <c r="GIC2" s="415"/>
      <c r="GID2" s="415"/>
      <c r="GIE2" s="415"/>
      <c r="GIF2" s="415"/>
      <c r="GIG2" s="415"/>
      <c r="GIH2" s="415"/>
      <c r="GII2" s="415"/>
      <c r="GIJ2" s="415"/>
      <c r="GIK2" s="415"/>
      <c r="GIL2" s="415"/>
      <c r="GIM2" s="415"/>
      <c r="GIN2" s="415"/>
      <c r="GIO2" s="415"/>
      <c r="GIP2" s="415"/>
      <c r="GIQ2" s="415"/>
      <c r="GIR2" s="415"/>
      <c r="GIS2" s="415"/>
      <c r="GIT2" s="415"/>
      <c r="GIU2" s="415"/>
      <c r="GIV2" s="415"/>
      <c r="GIW2" s="415"/>
      <c r="GIX2" s="415"/>
      <c r="GIY2" s="415"/>
      <c r="GIZ2" s="415"/>
      <c r="GJA2" s="415"/>
      <c r="GJB2" s="415"/>
      <c r="GJC2" s="415"/>
      <c r="GJD2" s="415"/>
      <c r="GJE2" s="415"/>
      <c r="GJF2" s="415"/>
      <c r="GJG2" s="415"/>
      <c r="GJH2" s="415"/>
      <c r="GJI2" s="415"/>
      <c r="GJJ2" s="415"/>
      <c r="GJK2" s="415"/>
      <c r="GJL2" s="415"/>
      <c r="GJM2" s="415"/>
      <c r="GJN2" s="415"/>
      <c r="GJO2" s="415"/>
      <c r="GJP2" s="415"/>
      <c r="GJQ2" s="415"/>
      <c r="GJR2" s="415"/>
      <c r="GJS2" s="415"/>
      <c r="GJT2" s="415"/>
      <c r="GJU2" s="415"/>
      <c r="GJV2" s="415"/>
      <c r="GJW2" s="415"/>
      <c r="GJX2" s="415"/>
      <c r="GJY2" s="415"/>
      <c r="GJZ2" s="415"/>
      <c r="GKA2" s="415"/>
      <c r="GKB2" s="415"/>
      <c r="GKC2" s="415"/>
      <c r="GKD2" s="415"/>
      <c r="GKE2" s="415"/>
      <c r="GKF2" s="415"/>
      <c r="GKG2" s="415"/>
      <c r="GKH2" s="415"/>
      <c r="GKI2" s="415"/>
      <c r="GKJ2" s="415"/>
      <c r="GKK2" s="415"/>
      <c r="GKL2" s="415"/>
      <c r="GKM2" s="415"/>
      <c r="GKN2" s="415"/>
      <c r="GKO2" s="415"/>
      <c r="GKP2" s="415"/>
      <c r="GKQ2" s="415"/>
      <c r="GKR2" s="415"/>
      <c r="GKS2" s="415"/>
      <c r="GKT2" s="415"/>
      <c r="GKU2" s="415"/>
      <c r="GKV2" s="415"/>
      <c r="GKW2" s="415"/>
      <c r="GKX2" s="415"/>
      <c r="GKY2" s="415"/>
      <c r="GKZ2" s="415"/>
      <c r="GLA2" s="415"/>
      <c r="GLB2" s="415"/>
      <c r="GLC2" s="415"/>
      <c r="GLD2" s="415"/>
      <c r="GLE2" s="415"/>
      <c r="GLF2" s="415"/>
      <c r="GLG2" s="415"/>
      <c r="GLH2" s="415"/>
      <c r="GLI2" s="415"/>
      <c r="GLJ2" s="415"/>
      <c r="GLK2" s="415"/>
      <c r="GLL2" s="415"/>
      <c r="GLM2" s="415"/>
      <c r="GLN2" s="415"/>
      <c r="GLO2" s="415"/>
      <c r="GLP2" s="415"/>
      <c r="GLQ2" s="415"/>
      <c r="GLR2" s="415"/>
      <c r="GLS2" s="415"/>
      <c r="GLT2" s="415"/>
      <c r="GLU2" s="415"/>
      <c r="GLV2" s="415"/>
      <c r="GLW2" s="415"/>
      <c r="GLX2" s="415"/>
      <c r="GLY2" s="415"/>
      <c r="GLZ2" s="415"/>
      <c r="GMA2" s="415"/>
      <c r="GMB2" s="415"/>
      <c r="GMC2" s="415"/>
      <c r="GMD2" s="415"/>
      <c r="GME2" s="415"/>
      <c r="GMF2" s="415"/>
      <c r="GMG2" s="415"/>
      <c r="GMH2" s="415"/>
      <c r="GMI2" s="415"/>
      <c r="GMJ2" s="415"/>
      <c r="GMK2" s="415"/>
      <c r="GML2" s="415"/>
      <c r="GMM2" s="415"/>
      <c r="GMN2" s="415"/>
      <c r="GMO2" s="415"/>
      <c r="GMP2" s="415"/>
      <c r="GMQ2" s="415"/>
      <c r="GMR2" s="415"/>
      <c r="GMS2" s="415"/>
      <c r="GMT2" s="415"/>
      <c r="GMU2" s="415"/>
      <c r="GMV2" s="415"/>
      <c r="GMW2" s="415"/>
      <c r="GMX2" s="415"/>
      <c r="GMY2" s="415"/>
      <c r="GMZ2" s="415"/>
      <c r="GNA2" s="415"/>
      <c r="GNB2" s="415"/>
      <c r="GNC2" s="415"/>
      <c r="GND2" s="415"/>
      <c r="GNE2" s="415"/>
      <c r="GNF2" s="415"/>
      <c r="GNG2" s="415"/>
      <c r="GNH2" s="415"/>
      <c r="GNI2" s="415"/>
      <c r="GNJ2" s="415"/>
      <c r="GNK2" s="415"/>
      <c r="GNL2" s="415"/>
      <c r="GNM2" s="415"/>
      <c r="GNN2" s="415"/>
      <c r="GNO2" s="415"/>
      <c r="GNP2" s="415"/>
      <c r="GNQ2" s="415"/>
      <c r="GNR2" s="415"/>
      <c r="GNS2" s="415"/>
      <c r="GNT2" s="415"/>
      <c r="GNU2" s="415"/>
      <c r="GNV2" s="415"/>
      <c r="GNW2" s="415"/>
      <c r="GNX2" s="415"/>
      <c r="GNY2" s="415"/>
      <c r="GNZ2" s="415"/>
      <c r="GOA2" s="415"/>
      <c r="GOB2" s="415"/>
      <c r="GOC2" s="415"/>
      <c r="GOD2" s="415"/>
      <c r="GOE2" s="415"/>
      <c r="GOF2" s="415"/>
      <c r="GOG2" s="415"/>
      <c r="GOH2" s="415"/>
      <c r="GOI2" s="415"/>
      <c r="GOJ2" s="415"/>
      <c r="GOK2" s="415"/>
      <c r="GOL2" s="415"/>
      <c r="GOM2" s="415"/>
      <c r="GON2" s="415"/>
      <c r="GOO2" s="415"/>
      <c r="GOP2" s="415"/>
      <c r="GOQ2" s="415"/>
      <c r="GOR2" s="415"/>
      <c r="GOS2" s="415"/>
      <c r="GOT2" s="415"/>
      <c r="GOU2" s="415"/>
      <c r="GOV2" s="415"/>
      <c r="GOW2" s="415"/>
      <c r="GOX2" s="415"/>
      <c r="GOY2" s="415"/>
      <c r="GOZ2" s="415"/>
      <c r="GPA2" s="415"/>
      <c r="GPB2" s="415"/>
      <c r="GPC2" s="415"/>
      <c r="GPD2" s="415"/>
      <c r="GPE2" s="415"/>
      <c r="GPF2" s="415"/>
      <c r="GPG2" s="415"/>
      <c r="GPH2" s="415"/>
      <c r="GPI2" s="415"/>
      <c r="GPJ2" s="415"/>
      <c r="GPK2" s="415"/>
      <c r="GPL2" s="415"/>
      <c r="GPM2" s="415"/>
      <c r="GPN2" s="415"/>
      <c r="GPO2" s="415"/>
      <c r="GPP2" s="415"/>
      <c r="GPQ2" s="415"/>
      <c r="GPR2" s="415"/>
      <c r="GPS2" s="415"/>
      <c r="GPT2" s="415"/>
      <c r="GPU2" s="415"/>
      <c r="GPV2" s="415"/>
      <c r="GPW2" s="415"/>
      <c r="GPX2" s="415"/>
      <c r="GPY2" s="415"/>
      <c r="GPZ2" s="415"/>
      <c r="GQA2" s="415"/>
      <c r="GQB2" s="415"/>
      <c r="GQC2" s="415"/>
      <c r="GQD2" s="415"/>
      <c r="GQE2" s="415"/>
      <c r="GQF2" s="415"/>
      <c r="GQG2" s="415"/>
      <c r="GQH2" s="415"/>
      <c r="GQI2" s="415"/>
      <c r="GQJ2" s="415"/>
      <c r="GQK2" s="415"/>
      <c r="GQL2" s="415"/>
      <c r="GQM2" s="415"/>
      <c r="GQN2" s="415"/>
      <c r="GQO2" s="415"/>
      <c r="GQP2" s="415"/>
      <c r="GQQ2" s="415"/>
      <c r="GQR2" s="415"/>
      <c r="GQS2" s="415"/>
      <c r="GQT2" s="415"/>
      <c r="GQU2" s="415"/>
      <c r="GQV2" s="415"/>
      <c r="GQW2" s="415"/>
      <c r="GQX2" s="415"/>
      <c r="GQY2" s="415"/>
      <c r="GQZ2" s="415"/>
      <c r="GRA2" s="415"/>
      <c r="GRB2" s="415"/>
      <c r="GRC2" s="415"/>
      <c r="GRD2" s="415"/>
      <c r="GRE2" s="415"/>
      <c r="GRF2" s="415"/>
      <c r="GRG2" s="415"/>
      <c r="GRH2" s="415"/>
      <c r="GRI2" s="415"/>
      <c r="GRJ2" s="415"/>
      <c r="GRK2" s="415"/>
      <c r="GRL2" s="415"/>
      <c r="GRM2" s="415"/>
      <c r="GRN2" s="415"/>
      <c r="GRO2" s="415"/>
      <c r="GRP2" s="415"/>
      <c r="GRQ2" s="415"/>
      <c r="GRR2" s="415"/>
      <c r="GRS2" s="415"/>
      <c r="GRT2" s="415"/>
      <c r="GRU2" s="415"/>
      <c r="GRV2" s="415"/>
      <c r="GRW2" s="415"/>
      <c r="GRX2" s="415"/>
      <c r="GRY2" s="415"/>
      <c r="GRZ2" s="415"/>
      <c r="GSA2" s="415"/>
      <c r="GSB2" s="415"/>
      <c r="GSC2" s="415"/>
      <c r="GSD2" s="415"/>
      <c r="GSE2" s="415"/>
      <c r="GSF2" s="415"/>
      <c r="GSG2" s="415"/>
      <c r="GSH2" s="415"/>
      <c r="GSI2" s="415"/>
      <c r="GSJ2" s="415"/>
      <c r="GSK2" s="415"/>
      <c r="GSL2" s="415"/>
      <c r="GSM2" s="415"/>
      <c r="GSN2" s="415"/>
      <c r="GSO2" s="415"/>
      <c r="GSP2" s="415"/>
      <c r="GSQ2" s="415"/>
      <c r="GSR2" s="415"/>
      <c r="GSS2" s="415"/>
      <c r="GST2" s="415"/>
      <c r="GSU2" s="415"/>
      <c r="GSV2" s="415"/>
      <c r="GSW2" s="415"/>
      <c r="GSX2" s="415"/>
      <c r="GSY2" s="415"/>
      <c r="GSZ2" s="415"/>
      <c r="GTA2" s="415"/>
      <c r="GTB2" s="415"/>
      <c r="GTC2" s="415"/>
      <c r="GTD2" s="415"/>
      <c r="GTE2" s="415"/>
      <c r="GTF2" s="415"/>
      <c r="GTG2" s="415"/>
      <c r="GTH2" s="415"/>
      <c r="GTI2" s="415"/>
      <c r="GTJ2" s="415"/>
      <c r="GTK2" s="415"/>
      <c r="GTL2" s="415"/>
      <c r="GTM2" s="415"/>
      <c r="GTN2" s="415"/>
      <c r="GTO2" s="415"/>
      <c r="GTP2" s="415"/>
      <c r="GTQ2" s="415"/>
      <c r="GTR2" s="415"/>
      <c r="GTS2" s="415"/>
      <c r="GTT2" s="415"/>
      <c r="GTU2" s="415"/>
      <c r="GTV2" s="415"/>
      <c r="GTW2" s="415"/>
      <c r="GTX2" s="415"/>
      <c r="GTY2" s="415"/>
      <c r="GTZ2" s="415"/>
      <c r="GUA2" s="415"/>
      <c r="GUB2" s="415"/>
      <c r="GUC2" s="415"/>
      <c r="GUD2" s="415"/>
      <c r="GUE2" s="415"/>
      <c r="GUF2" s="415"/>
      <c r="GUG2" s="415"/>
      <c r="GUH2" s="415"/>
      <c r="GUI2" s="415"/>
      <c r="GUJ2" s="415"/>
      <c r="GUK2" s="415"/>
      <c r="GUL2" s="415"/>
      <c r="GUM2" s="415"/>
      <c r="GUN2" s="415"/>
      <c r="GUO2" s="415"/>
      <c r="GUP2" s="415"/>
      <c r="GUQ2" s="415"/>
      <c r="GUR2" s="415"/>
      <c r="GUS2" s="415"/>
      <c r="GUT2" s="415"/>
      <c r="GUU2" s="415"/>
      <c r="GUV2" s="415"/>
      <c r="GUW2" s="415"/>
      <c r="GUX2" s="415"/>
      <c r="GUY2" s="415"/>
      <c r="GUZ2" s="415"/>
      <c r="GVA2" s="415"/>
      <c r="GVB2" s="415"/>
      <c r="GVC2" s="415"/>
      <c r="GVD2" s="415"/>
      <c r="GVE2" s="415"/>
      <c r="GVF2" s="415"/>
      <c r="GVG2" s="415"/>
      <c r="GVH2" s="415"/>
      <c r="GVI2" s="415"/>
      <c r="GVJ2" s="415"/>
      <c r="GVK2" s="415"/>
      <c r="GVL2" s="415"/>
      <c r="GVM2" s="415"/>
      <c r="GVN2" s="415"/>
      <c r="GVO2" s="415"/>
      <c r="GVP2" s="415"/>
      <c r="GVQ2" s="415"/>
      <c r="GVR2" s="415"/>
      <c r="GVS2" s="415"/>
      <c r="GVT2" s="415"/>
      <c r="GVU2" s="415"/>
      <c r="GVV2" s="415"/>
      <c r="GVW2" s="415"/>
      <c r="GVX2" s="415"/>
      <c r="GVY2" s="415"/>
      <c r="GVZ2" s="415"/>
      <c r="GWA2" s="415"/>
      <c r="GWB2" s="415"/>
      <c r="GWC2" s="415"/>
      <c r="GWD2" s="415"/>
      <c r="GWE2" s="415"/>
      <c r="GWF2" s="415"/>
      <c r="GWG2" s="415"/>
      <c r="GWH2" s="415"/>
      <c r="GWI2" s="415"/>
      <c r="GWJ2" s="415"/>
      <c r="GWK2" s="415"/>
      <c r="GWL2" s="415"/>
      <c r="GWM2" s="415"/>
      <c r="GWN2" s="415"/>
      <c r="GWO2" s="415"/>
      <c r="GWP2" s="415"/>
      <c r="GWQ2" s="415"/>
      <c r="GWR2" s="415"/>
      <c r="GWS2" s="415"/>
      <c r="GWT2" s="415"/>
      <c r="GWU2" s="415"/>
      <c r="GWV2" s="415"/>
      <c r="GWW2" s="415"/>
      <c r="GWX2" s="415"/>
      <c r="GWY2" s="415"/>
      <c r="GWZ2" s="415"/>
      <c r="GXA2" s="415"/>
      <c r="GXB2" s="415"/>
      <c r="GXC2" s="415"/>
      <c r="GXD2" s="415"/>
      <c r="GXE2" s="415"/>
      <c r="GXF2" s="415"/>
      <c r="GXG2" s="415"/>
      <c r="GXH2" s="415"/>
      <c r="GXI2" s="415"/>
      <c r="GXJ2" s="415"/>
      <c r="GXK2" s="415"/>
      <c r="GXL2" s="415"/>
      <c r="GXM2" s="415"/>
      <c r="GXN2" s="415"/>
      <c r="GXO2" s="415"/>
      <c r="GXP2" s="415"/>
      <c r="GXQ2" s="415"/>
      <c r="GXR2" s="415"/>
      <c r="GXS2" s="415"/>
      <c r="GXT2" s="415"/>
      <c r="GXU2" s="415"/>
      <c r="GXV2" s="415"/>
      <c r="GXW2" s="415"/>
      <c r="GXX2" s="415"/>
      <c r="GXY2" s="415"/>
      <c r="GXZ2" s="415"/>
      <c r="GYA2" s="415"/>
      <c r="GYB2" s="415"/>
      <c r="GYC2" s="415"/>
      <c r="GYD2" s="415"/>
      <c r="GYE2" s="415"/>
      <c r="GYF2" s="415"/>
      <c r="GYG2" s="415"/>
      <c r="GYH2" s="415"/>
      <c r="GYI2" s="415"/>
      <c r="GYJ2" s="415"/>
      <c r="GYK2" s="415"/>
      <c r="GYL2" s="415"/>
      <c r="GYM2" s="415"/>
      <c r="GYN2" s="415"/>
      <c r="GYO2" s="415"/>
      <c r="GYP2" s="415"/>
      <c r="GYQ2" s="415"/>
      <c r="GYR2" s="415"/>
      <c r="GYS2" s="415"/>
      <c r="GYT2" s="415"/>
      <c r="GYU2" s="415"/>
      <c r="GYV2" s="415"/>
      <c r="GYW2" s="415"/>
      <c r="GYX2" s="415"/>
      <c r="GYY2" s="415"/>
      <c r="GYZ2" s="415"/>
      <c r="GZA2" s="415"/>
      <c r="GZB2" s="415"/>
      <c r="GZC2" s="415"/>
      <c r="GZD2" s="415"/>
      <c r="GZE2" s="415"/>
      <c r="GZF2" s="415"/>
      <c r="GZG2" s="415"/>
      <c r="GZH2" s="415"/>
      <c r="GZI2" s="415"/>
      <c r="GZJ2" s="415"/>
      <c r="GZK2" s="415"/>
      <c r="GZL2" s="415"/>
      <c r="GZM2" s="415"/>
      <c r="GZN2" s="415"/>
      <c r="GZO2" s="415"/>
      <c r="GZP2" s="415"/>
      <c r="GZQ2" s="415"/>
      <c r="GZR2" s="415"/>
      <c r="GZS2" s="415"/>
      <c r="GZT2" s="415"/>
      <c r="GZU2" s="415"/>
      <c r="GZV2" s="415"/>
      <c r="GZW2" s="415"/>
      <c r="GZX2" s="415"/>
      <c r="GZY2" s="415"/>
      <c r="GZZ2" s="415"/>
      <c r="HAA2" s="415"/>
      <c r="HAB2" s="415"/>
      <c r="HAC2" s="415"/>
      <c r="HAD2" s="415"/>
      <c r="HAE2" s="415"/>
      <c r="HAF2" s="415"/>
      <c r="HAG2" s="415"/>
      <c r="HAH2" s="415"/>
      <c r="HAI2" s="415"/>
      <c r="HAJ2" s="415"/>
      <c r="HAK2" s="415"/>
      <c r="HAL2" s="415"/>
      <c r="HAM2" s="415"/>
      <c r="HAN2" s="415"/>
      <c r="HAO2" s="415"/>
      <c r="HAP2" s="415"/>
      <c r="HAQ2" s="415"/>
      <c r="HAR2" s="415"/>
      <c r="HAS2" s="415"/>
      <c r="HAT2" s="415"/>
      <c r="HAU2" s="415"/>
      <c r="HAV2" s="415"/>
      <c r="HAW2" s="415"/>
      <c r="HAX2" s="415"/>
      <c r="HAY2" s="415"/>
      <c r="HAZ2" s="415"/>
      <c r="HBA2" s="415"/>
      <c r="HBB2" s="415"/>
      <c r="HBC2" s="415"/>
      <c r="HBD2" s="415"/>
      <c r="HBE2" s="415"/>
      <c r="HBF2" s="415"/>
      <c r="HBG2" s="415"/>
      <c r="HBH2" s="415"/>
      <c r="HBI2" s="415"/>
      <c r="HBJ2" s="415"/>
      <c r="HBK2" s="415"/>
      <c r="HBL2" s="415"/>
      <c r="HBM2" s="415"/>
      <c r="HBN2" s="415"/>
      <c r="HBO2" s="415"/>
      <c r="HBP2" s="415"/>
      <c r="HBQ2" s="415"/>
      <c r="HBR2" s="415"/>
      <c r="HBS2" s="415"/>
      <c r="HBT2" s="415"/>
      <c r="HBU2" s="415"/>
      <c r="HBV2" s="415"/>
      <c r="HBW2" s="415"/>
      <c r="HBX2" s="415"/>
      <c r="HBY2" s="415"/>
      <c r="HBZ2" s="415"/>
      <c r="HCA2" s="415"/>
      <c r="HCB2" s="415"/>
      <c r="HCC2" s="415"/>
      <c r="HCD2" s="415"/>
      <c r="HCE2" s="415"/>
      <c r="HCF2" s="415"/>
      <c r="HCG2" s="415"/>
      <c r="HCH2" s="415"/>
      <c r="HCI2" s="415"/>
      <c r="HCJ2" s="415"/>
      <c r="HCK2" s="415"/>
      <c r="HCL2" s="415"/>
      <c r="HCM2" s="415"/>
      <c r="HCN2" s="415"/>
      <c r="HCO2" s="415"/>
      <c r="HCP2" s="415"/>
      <c r="HCQ2" s="415"/>
      <c r="HCR2" s="415"/>
      <c r="HCS2" s="415"/>
      <c r="HCT2" s="415"/>
      <c r="HCU2" s="415"/>
      <c r="HCV2" s="415"/>
      <c r="HCW2" s="415"/>
      <c r="HCX2" s="415"/>
      <c r="HCY2" s="415"/>
      <c r="HCZ2" s="415"/>
      <c r="HDA2" s="415"/>
      <c r="HDB2" s="415"/>
      <c r="HDC2" s="415"/>
      <c r="HDD2" s="415"/>
      <c r="HDE2" s="415"/>
      <c r="HDF2" s="415"/>
      <c r="HDG2" s="415"/>
      <c r="HDH2" s="415"/>
      <c r="HDI2" s="415"/>
      <c r="HDJ2" s="415"/>
      <c r="HDK2" s="415"/>
      <c r="HDL2" s="415"/>
      <c r="HDM2" s="415"/>
      <c r="HDN2" s="415"/>
      <c r="HDO2" s="415"/>
      <c r="HDP2" s="415"/>
      <c r="HDQ2" s="415"/>
      <c r="HDR2" s="415"/>
      <c r="HDS2" s="415"/>
      <c r="HDT2" s="415"/>
      <c r="HDU2" s="415"/>
      <c r="HDV2" s="415"/>
      <c r="HDW2" s="415"/>
      <c r="HDX2" s="415"/>
      <c r="HDY2" s="415"/>
      <c r="HDZ2" s="415"/>
      <c r="HEA2" s="415"/>
      <c r="HEB2" s="415"/>
      <c r="HEC2" s="415"/>
      <c r="HED2" s="415"/>
      <c r="HEE2" s="415"/>
      <c r="HEF2" s="415"/>
      <c r="HEG2" s="415"/>
      <c r="HEH2" s="415"/>
      <c r="HEI2" s="415"/>
      <c r="HEJ2" s="415"/>
      <c r="HEK2" s="415"/>
      <c r="HEL2" s="415"/>
      <c r="HEM2" s="415"/>
      <c r="HEN2" s="415"/>
      <c r="HEO2" s="415"/>
      <c r="HEP2" s="415"/>
      <c r="HEQ2" s="415"/>
      <c r="HER2" s="415"/>
      <c r="HES2" s="415"/>
      <c r="HET2" s="415"/>
      <c r="HEU2" s="415"/>
      <c r="HEV2" s="415"/>
      <c r="HEW2" s="415"/>
      <c r="HEX2" s="415"/>
      <c r="HEY2" s="415"/>
      <c r="HEZ2" s="415"/>
      <c r="HFA2" s="415"/>
      <c r="HFB2" s="415"/>
      <c r="HFC2" s="415"/>
      <c r="HFD2" s="415"/>
      <c r="HFE2" s="415"/>
      <c r="HFF2" s="415"/>
      <c r="HFG2" s="415"/>
      <c r="HFH2" s="415"/>
      <c r="HFI2" s="415"/>
      <c r="HFJ2" s="415"/>
      <c r="HFK2" s="415"/>
      <c r="HFL2" s="415"/>
      <c r="HFM2" s="415"/>
      <c r="HFN2" s="415"/>
      <c r="HFO2" s="415"/>
      <c r="HFP2" s="415"/>
      <c r="HFQ2" s="415"/>
      <c r="HFR2" s="415"/>
      <c r="HFS2" s="415"/>
      <c r="HFT2" s="415"/>
      <c r="HFU2" s="415"/>
      <c r="HFV2" s="415"/>
      <c r="HFW2" s="415"/>
      <c r="HFX2" s="415"/>
      <c r="HFY2" s="415"/>
      <c r="HFZ2" s="415"/>
      <c r="HGA2" s="415"/>
      <c r="HGB2" s="415"/>
      <c r="HGC2" s="415"/>
      <c r="HGD2" s="415"/>
      <c r="HGE2" s="415"/>
      <c r="HGF2" s="415"/>
      <c r="HGG2" s="415"/>
      <c r="HGH2" s="415"/>
      <c r="HGI2" s="415"/>
      <c r="HGJ2" s="415"/>
      <c r="HGK2" s="415"/>
      <c r="HGL2" s="415"/>
      <c r="HGM2" s="415"/>
      <c r="HGN2" s="415"/>
      <c r="HGO2" s="415"/>
      <c r="HGP2" s="415"/>
      <c r="HGQ2" s="415"/>
      <c r="HGR2" s="415"/>
      <c r="HGS2" s="415"/>
      <c r="HGT2" s="415"/>
      <c r="HGU2" s="415"/>
      <c r="HGV2" s="415"/>
      <c r="HGW2" s="415"/>
      <c r="HGX2" s="415"/>
      <c r="HGY2" s="415"/>
      <c r="HGZ2" s="415"/>
      <c r="HHA2" s="415"/>
      <c r="HHB2" s="415"/>
      <c r="HHC2" s="415"/>
      <c r="HHD2" s="415"/>
      <c r="HHE2" s="415"/>
      <c r="HHF2" s="415"/>
      <c r="HHG2" s="415"/>
      <c r="HHH2" s="415"/>
      <c r="HHI2" s="415"/>
      <c r="HHJ2" s="415"/>
      <c r="HHK2" s="415"/>
      <c r="HHL2" s="415"/>
      <c r="HHM2" s="415"/>
      <c r="HHN2" s="415"/>
      <c r="HHO2" s="415"/>
      <c r="HHP2" s="415"/>
      <c r="HHQ2" s="415"/>
      <c r="HHR2" s="415"/>
      <c r="HHS2" s="415"/>
      <c r="HHT2" s="415"/>
      <c r="HHU2" s="415"/>
      <c r="HHV2" s="415"/>
      <c r="HHW2" s="415"/>
      <c r="HHX2" s="415"/>
      <c r="HHY2" s="415"/>
      <c r="HHZ2" s="415"/>
      <c r="HIA2" s="415"/>
      <c r="HIB2" s="415"/>
      <c r="HIC2" s="415"/>
      <c r="HID2" s="415"/>
      <c r="HIE2" s="415"/>
      <c r="HIF2" s="415"/>
      <c r="HIG2" s="415"/>
      <c r="HIH2" s="415"/>
      <c r="HII2" s="415"/>
      <c r="HIJ2" s="415"/>
      <c r="HIK2" s="415"/>
      <c r="HIL2" s="415"/>
      <c r="HIM2" s="415"/>
      <c r="HIN2" s="415"/>
      <c r="HIO2" s="415"/>
      <c r="HIP2" s="415"/>
      <c r="HIQ2" s="415"/>
      <c r="HIR2" s="415"/>
      <c r="HIS2" s="415"/>
      <c r="HIT2" s="415"/>
      <c r="HIU2" s="415"/>
      <c r="HIV2" s="415"/>
      <c r="HIW2" s="415"/>
      <c r="HIX2" s="415"/>
      <c r="HIY2" s="415"/>
      <c r="HIZ2" s="415"/>
      <c r="HJA2" s="415"/>
      <c r="HJB2" s="415"/>
      <c r="HJC2" s="415"/>
      <c r="HJD2" s="415"/>
      <c r="HJE2" s="415"/>
      <c r="HJF2" s="415"/>
      <c r="HJG2" s="415"/>
      <c r="HJH2" s="415"/>
      <c r="HJI2" s="415"/>
      <c r="HJJ2" s="415"/>
      <c r="HJK2" s="415"/>
      <c r="HJL2" s="415"/>
      <c r="HJM2" s="415"/>
      <c r="HJN2" s="415"/>
      <c r="HJO2" s="415"/>
      <c r="HJP2" s="415"/>
      <c r="HJQ2" s="415"/>
      <c r="HJR2" s="415"/>
      <c r="HJS2" s="415"/>
      <c r="HJT2" s="415"/>
      <c r="HJU2" s="415"/>
      <c r="HJV2" s="415"/>
      <c r="HJW2" s="415"/>
      <c r="HJX2" s="415"/>
      <c r="HJY2" s="415"/>
      <c r="HJZ2" s="415"/>
      <c r="HKA2" s="415"/>
      <c r="HKB2" s="415"/>
      <c r="HKC2" s="415"/>
      <c r="HKD2" s="415"/>
      <c r="HKE2" s="415"/>
      <c r="HKF2" s="415"/>
      <c r="HKG2" s="415"/>
      <c r="HKH2" s="415"/>
      <c r="HKI2" s="415"/>
      <c r="HKJ2" s="415"/>
      <c r="HKK2" s="415"/>
      <c r="HKL2" s="415"/>
      <c r="HKM2" s="415"/>
      <c r="HKN2" s="415"/>
      <c r="HKO2" s="415"/>
      <c r="HKP2" s="415"/>
      <c r="HKQ2" s="415"/>
      <c r="HKR2" s="415"/>
      <c r="HKS2" s="415"/>
      <c r="HKT2" s="415"/>
      <c r="HKU2" s="415"/>
      <c r="HKV2" s="415"/>
      <c r="HKW2" s="415"/>
      <c r="HKX2" s="415"/>
      <c r="HKY2" s="415"/>
      <c r="HKZ2" s="415"/>
      <c r="HLA2" s="415"/>
      <c r="HLB2" s="415"/>
      <c r="HLC2" s="415"/>
      <c r="HLD2" s="415"/>
      <c r="HLE2" s="415"/>
      <c r="HLF2" s="415"/>
      <c r="HLG2" s="415"/>
      <c r="HLH2" s="415"/>
      <c r="HLI2" s="415"/>
      <c r="HLJ2" s="415"/>
      <c r="HLK2" s="415"/>
      <c r="HLL2" s="415"/>
      <c r="HLM2" s="415"/>
      <c r="HLN2" s="415"/>
      <c r="HLO2" s="415"/>
      <c r="HLP2" s="415"/>
      <c r="HLQ2" s="415"/>
      <c r="HLR2" s="415"/>
      <c r="HLS2" s="415"/>
      <c r="HLT2" s="415"/>
      <c r="HLU2" s="415"/>
      <c r="HLV2" s="415"/>
      <c r="HLW2" s="415"/>
      <c r="HLX2" s="415"/>
      <c r="HLY2" s="415"/>
      <c r="HLZ2" s="415"/>
      <c r="HMA2" s="415"/>
      <c r="HMB2" s="415"/>
      <c r="HMC2" s="415"/>
      <c r="HMD2" s="415"/>
      <c r="HME2" s="415"/>
      <c r="HMF2" s="415"/>
      <c r="HMG2" s="415"/>
      <c r="HMH2" s="415"/>
      <c r="HMI2" s="415"/>
      <c r="HMJ2" s="415"/>
      <c r="HMK2" s="415"/>
      <c r="HML2" s="415"/>
      <c r="HMM2" s="415"/>
      <c r="HMN2" s="415"/>
      <c r="HMO2" s="415"/>
      <c r="HMP2" s="415"/>
      <c r="HMQ2" s="415"/>
      <c r="HMR2" s="415"/>
      <c r="HMS2" s="415"/>
      <c r="HMT2" s="415"/>
      <c r="HMU2" s="415"/>
      <c r="HMV2" s="415"/>
      <c r="HMW2" s="415"/>
      <c r="HMX2" s="415"/>
      <c r="HMY2" s="415"/>
      <c r="HMZ2" s="415"/>
      <c r="HNA2" s="415"/>
      <c r="HNB2" s="415"/>
      <c r="HNC2" s="415"/>
      <c r="HND2" s="415"/>
      <c r="HNE2" s="415"/>
      <c r="HNF2" s="415"/>
      <c r="HNG2" s="415"/>
      <c r="HNH2" s="415"/>
      <c r="HNI2" s="415"/>
      <c r="HNJ2" s="415"/>
      <c r="HNK2" s="415"/>
      <c r="HNL2" s="415"/>
      <c r="HNM2" s="415"/>
      <c r="HNN2" s="415"/>
      <c r="HNO2" s="415"/>
      <c r="HNP2" s="415"/>
      <c r="HNQ2" s="415"/>
      <c r="HNR2" s="415"/>
      <c r="HNS2" s="415"/>
      <c r="HNT2" s="415"/>
      <c r="HNU2" s="415"/>
      <c r="HNV2" s="415"/>
      <c r="HNW2" s="415"/>
      <c r="HNX2" s="415"/>
      <c r="HNY2" s="415"/>
      <c r="HNZ2" s="415"/>
      <c r="HOA2" s="415"/>
      <c r="HOB2" s="415"/>
      <c r="HOC2" s="415"/>
      <c r="HOD2" s="415"/>
      <c r="HOE2" s="415"/>
      <c r="HOF2" s="415"/>
      <c r="HOG2" s="415"/>
      <c r="HOH2" s="415"/>
      <c r="HOI2" s="415"/>
      <c r="HOJ2" s="415"/>
      <c r="HOK2" s="415"/>
      <c r="HOL2" s="415"/>
      <c r="HOM2" s="415"/>
      <c r="HON2" s="415"/>
      <c r="HOO2" s="415"/>
      <c r="HOP2" s="415"/>
      <c r="HOQ2" s="415"/>
      <c r="HOR2" s="415"/>
      <c r="HOS2" s="415"/>
      <c r="HOT2" s="415"/>
      <c r="HOU2" s="415"/>
      <c r="HOV2" s="415"/>
      <c r="HOW2" s="415"/>
      <c r="HOX2" s="415"/>
      <c r="HOY2" s="415"/>
      <c r="HOZ2" s="415"/>
      <c r="HPA2" s="415"/>
      <c r="HPB2" s="415"/>
      <c r="HPC2" s="415"/>
      <c r="HPD2" s="415"/>
      <c r="HPE2" s="415"/>
      <c r="HPF2" s="415"/>
      <c r="HPG2" s="415"/>
      <c r="HPH2" s="415"/>
      <c r="HPI2" s="415"/>
      <c r="HPJ2" s="415"/>
      <c r="HPK2" s="415"/>
      <c r="HPL2" s="415"/>
      <c r="HPM2" s="415"/>
      <c r="HPN2" s="415"/>
      <c r="HPO2" s="415"/>
      <c r="HPP2" s="415"/>
      <c r="HPQ2" s="415"/>
      <c r="HPR2" s="415"/>
      <c r="HPS2" s="415"/>
      <c r="HPT2" s="415"/>
      <c r="HPU2" s="415"/>
      <c r="HPV2" s="415"/>
      <c r="HPW2" s="415"/>
      <c r="HPX2" s="415"/>
      <c r="HPY2" s="415"/>
      <c r="HPZ2" s="415"/>
      <c r="HQA2" s="415"/>
      <c r="HQB2" s="415"/>
      <c r="HQC2" s="415"/>
      <c r="HQD2" s="415"/>
      <c r="HQE2" s="415"/>
      <c r="HQF2" s="415"/>
      <c r="HQG2" s="415"/>
      <c r="HQH2" s="415"/>
      <c r="HQI2" s="415"/>
      <c r="HQJ2" s="415"/>
      <c r="HQK2" s="415"/>
      <c r="HQL2" s="415"/>
      <c r="HQM2" s="415"/>
      <c r="HQN2" s="415"/>
      <c r="HQO2" s="415"/>
      <c r="HQP2" s="415"/>
      <c r="HQQ2" s="415"/>
      <c r="HQR2" s="415"/>
      <c r="HQS2" s="415"/>
      <c r="HQT2" s="415"/>
      <c r="HQU2" s="415"/>
      <c r="HQV2" s="415"/>
      <c r="HQW2" s="415"/>
      <c r="HQX2" s="415"/>
      <c r="HQY2" s="415"/>
      <c r="HQZ2" s="415"/>
      <c r="HRA2" s="415"/>
      <c r="HRB2" s="415"/>
      <c r="HRC2" s="415"/>
      <c r="HRD2" s="415"/>
      <c r="HRE2" s="415"/>
      <c r="HRF2" s="415"/>
      <c r="HRG2" s="415"/>
      <c r="HRH2" s="415"/>
      <c r="HRI2" s="415"/>
      <c r="HRJ2" s="415"/>
      <c r="HRK2" s="415"/>
      <c r="HRL2" s="415"/>
      <c r="HRM2" s="415"/>
      <c r="HRN2" s="415"/>
      <c r="HRO2" s="415"/>
      <c r="HRP2" s="415"/>
      <c r="HRQ2" s="415"/>
      <c r="HRR2" s="415"/>
      <c r="HRS2" s="415"/>
      <c r="HRT2" s="415"/>
      <c r="HRU2" s="415"/>
      <c r="HRV2" s="415"/>
      <c r="HRW2" s="415"/>
      <c r="HRX2" s="415"/>
      <c r="HRY2" s="415"/>
      <c r="HRZ2" s="415"/>
      <c r="HSA2" s="415"/>
      <c r="HSB2" s="415"/>
      <c r="HSC2" s="415"/>
      <c r="HSD2" s="415"/>
      <c r="HSE2" s="415"/>
      <c r="HSF2" s="415"/>
      <c r="HSG2" s="415"/>
      <c r="HSH2" s="415"/>
      <c r="HSI2" s="415"/>
      <c r="HSJ2" s="415"/>
      <c r="HSK2" s="415"/>
      <c r="HSL2" s="415"/>
      <c r="HSM2" s="415"/>
      <c r="HSN2" s="415"/>
      <c r="HSO2" s="415"/>
      <c r="HSP2" s="415"/>
      <c r="HSQ2" s="415"/>
      <c r="HSR2" s="415"/>
      <c r="HSS2" s="415"/>
      <c r="HST2" s="415"/>
      <c r="HSU2" s="415"/>
      <c r="HSV2" s="415"/>
      <c r="HSW2" s="415"/>
      <c r="HSX2" s="415"/>
      <c r="HSY2" s="415"/>
      <c r="HSZ2" s="415"/>
      <c r="HTA2" s="415"/>
      <c r="HTB2" s="415"/>
      <c r="HTC2" s="415"/>
      <c r="HTD2" s="415"/>
      <c r="HTE2" s="415"/>
      <c r="HTF2" s="415"/>
      <c r="HTG2" s="415"/>
      <c r="HTH2" s="415"/>
      <c r="HTI2" s="415"/>
      <c r="HTJ2" s="415"/>
      <c r="HTK2" s="415"/>
      <c r="HTL2" s="415"/>
      <c r="HTM2" s="415"/>
      <c r="HTN2" s="415"/>
      <c r="HTO2" s="415"/>
      <c r="HTP2" s="415"/>
      <c r="HTQ2" s="415"/>
      <c r="HTR2" s="415"/>
      <c r="HTS2" s="415"/>
      <c r="HTT2" s="415"/>
      <c r="HTU2" s="415"/>
      <c r="HTV2" s="415"/>
      <c r="HTW2" s="415"/>
      <c r="HTX2" s="415"/>
      <c r="HTY2" s="415"/>
      <c r="HTZ2" s="415"/>
      <c r="HUA2" s="415"/>
      <c r="HUB2" s="415"/>
      <c r="HUC2" s="415"/>
      <c r="HUD2" s="415"/>
      <c r="HUE2" s="415"/>
      <c r="HUF2" s="415"/>
      <c r="HUG2" s="415"/>
      <c r="HUH2" s="415"/>
      <c r="HUI2" s="415"/>
      <c r="HUJ2" s="415"/>
      <c r="HUK2" s="415"/>
      <c r="HUL2" s="415"/>
      <c r="HUM2" s="415"/>
      <c r="HUN2" s="415"/>
      <c r="HUO2" s="415"/>
      <c r="HUP2" s="415"/>
      <c r="HUQ2" s="415"/>
      <c r="HUR2" s="415"/>
      <c r="HUS2" s="415"/>
      <c r="HUT2" s="415"/>
      <c r="HUU2" s="415"/>
      <c r="HUV2" s="415"/>
      <c r="HUW2" s="415"/>
      <c r="HUX2" s="415"/>
      <c r="HUY2" s="415"/>
      <c r="HUZ2" s="415"/>
      <c r="HVA2" s="415"/>
      <c r="HVB2" s="415"/>
      <c r="HVC2" s="415"/>
      <c r="HVD2" s="415"/>
      <c r="HVE2" s="415"/>
      <c r="HVF2" s="415"/>
      <c r="HVG2" s="415"/>
      <c r="HVH2" s="415"/>
      <c r="HVI2" s="415"/>
      <c r="HVJ2" s="415"/>
      <c r="HVK2" s="415"/>
      <c r="HVL2" s="415"/>
      <c r="HVM2" s="415"/>
      <c r="HVN2" s="415"/>
      <c r="HVO2" s="415"/>
      <c r="HVP2" s="415"/>
      <c r="HVQ2" s="415"/>
      <c r="HVR2" s="415"/>
      <c r="HVS2" s="415"/>
      <c r="HVT2" s="415"/>
      <c r="HVU2" s="415"/>
      <c r="HVV2" s="415"/>
      <c r="HVW2" s="415"/>
      <c r="HVX2" s="415"/>
      <c r="HVY2" s="415"/>
      <c r="HVZ2" s="415"/>
      <c r="HWA2" s="415"/>
      <c r="HWB2" s="415"/>
      <c r="HWC2" s="415"/>
      <c r="HWD2" s="415"/>
      <c r="HWE2" s="415"/>
      <c r="HWF2" s="415"/>
      <c r="HWG2" s="415"/>
      <c r="HWH2" s="415"/>
      <c r="HWI2" s="415"/>
      <c r="HWJ2" s="415"/>
      <c r="HWK2" s="415"/>
      <c r="HWL2" s="415"/>
      <c r="HWM2" s="415"/>
      <c r="HWN2" s="415"/>
      <c r="HWO2" s="415"/>
      <c r="HWP2" s="415"/>
      <c r="HWQ2" s="415"/>
      <c r="HWR2" s="415"/>
      <c r="HWS2" s="415"/>
      <c r="HWT2" s="415"/>
      <c r="HWU2" s="415"/>
      <c r="HWV2" s="415"/>
      <c r="HWW2" s="415"/>
      <c r="HWX2" s="415"/>
      <c r="HWY2" s="415"/>
      <c r="HWZ2" s="415"/>
      <c r="HXA2" s="415"/>
      <c r="HXB2" s="415"/>
      <c r="HXC2" s="415"/>
      <c r="HXD2" s="415"/>
      <c r="HXE2" s="415"/>
      <c r="HXF2" s="415"/>
      <c r="HXG2" s="415"/>
      <c r="HXH2" s="415"/>
      <c r="HXI2" s="415"/>
      <c r="HXJ2" s="415"/>
      <c r="HXK2" s="415"/>
      <c r="HXL2" s="415"/>
      <c r="HXM2" s="415"/>
      <c r="HXN2" s="415"/>
      <c r="HXO2" s="415"/>
      <c r="HXP2" s="415"/>
      <c r="HXQ2" s="415"/>
      <c r="HXR2" s="415"/>
      <c r="HXS2" s="415"/>
      <c r="HXT2" s="415"/>
      <c r="HXU2" s="415"/>
      <c r="HXV2" s="415"/>
      <c r="HXW2" s="415"/>
      <c r="HXX2" s="415"/>
      <c r="HXY2" s="415"/>
      <c r="HXZ2" s="415"/>
      <c r="HYA2" s="415"/>
      <c r="HYB2" s="415"/>
      <c r="HYC2" s="415"/>
      <c r="HYD2" s="415"/>
      <c r="HYE2" s="415"/>
      <c r="HYF2" s="415"/>
      <c r="HYG2" s="415"/>
      <c r="HYH2" s="415"/>
      <c r="HYI2" s="415"/>
      <c r="HYJ2" s="415"/>
      <c r="HYK2" s="415"/>
      <c r="HYL2" s="415"/>
      <c r="HYM2" s="415"/>
      <c r="HYN2" s="415"/>
      <c r="HYO2" s="415"/>
      <c r="HYP2" s="415"/>
      <c r="HYQ2" s="415"/>
      <c r="HYR2" s="415"/>
      <c r="HYS2" s="415"/>
      <c r="HYT2" s="415"/>
      <c r="HYU2" s="415"/>
      <c r="HYV2" s="415"/>
      <c r="HYW2" s="415"/>
      <c r="HYX2" s="415"/>
      <c r="HYY2" s="415"/>
      <c r="HYZ2" s="415"/>
      <c r="HZA2" s="415"/>
      <c r="HZB2" s="415"/>
      <c r="HZC2" s="415"/>
      <c r="HZD2" s="415"/>
      <c r="HZE2" s="415"/>
      <c r="HZF2" s="415"/>
      <c r="HZG2" s="415"/>
      <c r="HZH2" s="415"/>
      <c r="HZI2" s="415"/>
      <c r="HZJ2" s="415"/>
      <c r="HZK2" s="415"/>
      <c r="HZL2" s="415"/>
      <c r="HZM2" s="415"/>
      <c r="HZN2" s="415"/>
      <c r="HZO2" s="415"/>
      <c r="HZP2" s="415"/>
      <c r="HZQ2" s="415"/>
      <c r="HZR2" s="415"/>
      <c r="HZS2" s="415"/>
      <c r="HZT2" s="415"/>
      <c r="HZU2" s="415"/>
      <c r="HZV2" s="415"/>
      <c r="HZW2" s="415"/>
      <c r="HZX2" s="415"/>
      <c r="HZY2" s="415"/>
      <c r="HZZ2" s="415"/>
      <c r="IAA2" s="415"/>
      <c r="IAB2" s="415"/>
      <c r="IAC2" s="415"/>
      <c r="IAD2" s="415"/>
      <c r="IAE2" s="415"/>
      <c r="IAF2" s="415"/>
      <c r="IAG2" s="415"/>
      <c r="IAH2" s="415"/>
      <c r="IAI2" s="415"/>
      <c r="IAJ2" s="415"/>
      <c r="IAK2" s="415"/>
      <c r="IAL2" s="415"/>
      <c r="IAM2" s="415"/>
      <c r="IAN2" s="415"/>
      <c r="IAO2" s="415"/>
      <c r="IAP2" s="415"/>
      <c r="IAQ2" s="415"/>
      <c r="IAR2" s="415"/>
      <c r="IAS2" s="415"/>
      <c r="IAT2" s="415"/>
      <c r="IAU2" s="415"/>
      <c r="IAV2" s="415"/>
      <c r="IAW2" s="415"/>
      <c r="IAX2" s="415"/>
      <c r="IAY2" s="415"/>
      <c r="IAZ2" s="415"/>
      <c r="IBA2" s="415"/>
      <c r="IBB2" s="415"/>
      <c r="IBC2" s="415"/>
      <c r="IBD2" s="415"/>
      <c r="IBE2" s="415"/>
      <c r="IBF2" s="415"/>
      <c r="IBG2" s="415"/>
      <c r="IBH2" s="415"/>
      <c r="IBI2" s="415"/>
      <c r="IBJ2" s="415"/>
      <c r="IBK2" s="415"/>
      <c r="IBL2" s="415"/>
      <c r="IBM2" s="415"/>
      <c r="IBN2" s="415"/>
      <c r="IBO2" s="415"/>
      <c r="IBP2" s="415"/>
      <c r="IBQ2" s="415"/>
      <c r="IBR2" s="415"/>
      <c r="IBS2" s="415"/>
      <c r="IBT2" s="415"/>
      <c r="IBU2" s="415"/>
      <c r="IBV2" s="415"/>
      <c r="IBW2" s="415"/>
      <c r="IBX2" s="415"/>
      <c r="IBY2" s="415"/>
      <c r="IBZ2" s="415"/>
      <c r="ICA2" s="415"/>
      <c r="ICB2" s="415"/>
      <c r="ICC2" s="415"/>
      <c r="ICD2" s="415"/>
      <c r="ICE2" s="415"/>
      <c r="ICF2" s="415"/>
      <c r="ICG2" s="415"/>
      <c r="ICH2" s="415"/>
      <c r="ICI2" s="415"/>
      <c r="ICJ2" s="415"/>
      <c r="ICK2" s="415"/>
      <c r="ICL2" s="415"/>
      <c r="ICM2" s="415"/>
      <c r="ICN2" s="415"/>
      <c r="ICO2" s="415"/>
      <c r="ICP2" s="415"/>
      <c r="ICQ2" s="415"/>
      <c r="ICR2" s="415"/>
      <c r="ICS2" s="415"/>
      <c r="ICT2" s="415"/>
      <c r="ICU2" s="415"/>
      <c r="ICV2" s="415"/>
      <c r="ICW2" s="415"/>
      <c r="ICX2" s="415"/>
      <c r="ICY2" s="415"/>
      <c r="ICZ2" s="415"/>
      <c r="IDA2" s="415"/>
      <c r="IDB2" s="415"/>
      <c r="IDC2" s="415"/>
      <c r="IDD2" s="415"/>
      <c r="IDE2" s="415"/>
      <c r="IDF2" s="415"/>
      <c r="IDG2" s="415"/>
      <c r="IDH2" s="415"/>
      <c r="IDI2" s="415"/>
      <c r="IDJ2" s="415"/>
      <c r="IDK2" s="415"/>
      <c r="IDL2" s="415"/>
      <c r="IDM2" s="415"/>
      <c r="IDN2" s="415"/>
      <c r="IDO2" s="415"/>
      <c r="IDP2" s="415"/>
      <c r="IDQ2" s="415"/>
      <c r="IDR2" s="415"/>
      <c r="IDS2" s="415"/>
      <c r="IDT2" s="415"/>
      <c r="IDU2" s="415"/>
      <c r="IDV2" s="415"/>
      <c r="IDW2" s="415"/>
      <c r="IDX2" s="415"/>
      <c r="IDY2" s="415"/>
      <c r="IDZ2" s="415"/>
      <c r="IEA2" s="415"/>
      <c r="IEB2" s="415"/>
      <c r="IEC2" s="415"/>
      <c r="IED2" s="415"/>
      <c r="IEE2" s="415"/>
      <c r="IEF2" s="415"/>
      <c r="IEG2" s="415"/>
      <c r="IEH2" s="415"/>
      <c r="IEI2" s="415"/>
      <c r="IEJ2" s="415"/>
      <c r="IEK2" s="415"/>
      <c r="IEL2" s="415"/>
      <c r="IEM2" s="415"/>
      <c r="IEN2" s="415"/>
      <c r="IEO2" s="415"/>
      <c r="IEP2" s="415"/>
      <c r="IEQ2" s="415"/>
      <c r="IER2" s="415"/>
      <c r="IES2" s="415"/>
      <c r="IET2" s="415"/>
      <c r="IEU2" s="415"/>
      <c r="IEV2" s="415"/>
      <c r="IEW2" s="415"/>
      <c r="IEX2" s="415"/>
      <c r="IEY2" s="415"/>
      <c r="IEZ2" s="415"/>
      <c r="IFA2" s="415"/>
      <c r="IFB2" s="415"/>
      <c r="IFC2" s="415"/>
      <c r="IFD2" s="415"/>
      <c r="IFE2" s="415"/>
      <c r="IFF2" s="415"/>
      <c r="IFG2" s="415"/>
      <c r="IFH2" s="415"/>
      <c r="IFI2" s="415"/>
      <c r="IFJ2" s="415"/>
      <c r="IFK2" s="415"/>
      <c r="IFL2" s="415"/>
      <c r="IFM2" s="415"/>
      <c r="IFN2" s="415"/>
      <c r="IFO2" s="415"/>
      <c r="IFP2" s="415"/>
      <c r="IFQ2" s="415"/>
      <c r="IFR2" s="415"/>
      <c r="IFS2" s="415"/>
      <c r="IFT2" s="415"/>
      <c r="IFU2" s="415"/>
      <c r="IFV2" s="415"/>
      <c r="IFW2" s="415"/>
      <c r="IFX2" s="415"/>
      <c r="IFY2" s="415"/>
      <c r="IFZ2" s="415"/>
      <c r="IGA2" s="415"/>
      <c r="IGB2" s="415"/>
      <c r="IGC2" s="415"/>
      <c r="IGD2" s="415"/>
      <c r="IGE2" s="415"/>
      <c r="IGF2" s="415"/>
      <c r="IGG2" s="415"/>
      <c r="IGH2" s="415"/>
      <c r="IGI2" s="415"/>
      <c r="IGJ2" s="415"/>
      <c r="IGK2" s="415"/>
      <c r="IGL2" s="415"/>
      <c r="IGM2" s="415"/>
      <c r="IGN2" s="415"/>
      <c r="IGO2" s="415"/>
      <c r="IGP2" s="415"/>
      <c r="IGQ2" s="415"/>
      <c r="IGR2" s="415"/>
      <c r="IGS2" s="415"/>
      <c r="IGT2" s="415"/>
      <c r="IGU2" s="415"/>
      <c r="IGV2" s="415"/>
      <c r="IGW2" s="415"/>
      <c r="IGX2" s="415"/>
      <c r="IGY2" s="415"/>
      <c r="IGZ2" s="415"/>
      <c r="IHA2" s="415"/>
      <c r="IHB2" s="415"/>
      <c r="IHC2" s="415"/>
      <c r="IHD2" s="415"/>
      <c r="IHE2" s="415"/>
      <c r="IHF2" s="415"/>
      <c r="IHG2" s="415"/>
      <c r="IHH2" s="415"/>
      <c r="IHI2" s="415"/>
      <c r="IHJ2" s="415"/>
      <c r="IHK2" s="415"/>
      <c r="IHL2" s="415"/>
      <c r="IHM2" s="415"/>
      <c r="IHN2" s="415"/>
      <c r="IHO2" s="415"/>
      <c r="IHP2" s="415"/>
      <c r="IHQ2" s="415"/>
      <c r="IHR2" s="415"/>
      <c r="IHS2" s="415"/>
      <c r="IHT2" s="415"/>
      <c r="IHU2" s="415"/>
      <c r="IHV2" s="415"/>
      <c r="IHW2" s="415"/>
      <c r="IHX2" s="415"/>
      <c r="IHY2" s="415"/>
      <c r="IHZ2" s="415"/>
      <c r="IIA2" s="415"/>
      <c r="IIB2" s="415"/>
      <c r="IIC2" s="415"/>
      <c r="IID2" s="415"/>
      <c r="IIE2" s="415"/>
      <c r="IIF2" s="415"/>
      <c r="IIG2" s="415"/>
      <c r="IIH2" s="415"/>
      <c r="III2" s="415"/>
      <c r="IIJ2" s="415"/>
      <c r="IIK2" s="415"/>
      <c r="IIL2" s="415"/>
      <c r="IIM2" s="415"/>
      <c r="IIN2" s="415"/>
      <c r="IIO2" s="415"/>
      <c r="IIP2" s="415"/>
      <c r="IIQ2" s="415"/>
      <c r="IIR2" s="415"/>
      <c r="IIS2" s="415"/>
      <c r="IIT2" s="415"/>
      <c r="IIU2" s="415"/>
      <c r="IIV2" s="415"/>
      <c r="IIW2" s="415"/>
      <c r="IIX2" s="415"/>
      <c r="IIY2" s="415"/>
      <c r="IIZ2" s="415"/>
      <c r="IJA2" s="415"/>
      <c r="IJB2" s="415"/>
      <c r="IJC2" s="415"/>
      <c r="IJD2" s="415"/>
      <c r="IJE2" s="415"/>
      <c r="IJF2" s="415"/>
      <c r="IJG2" s="415"/>
      <c r="IJH2" s="415"/>
      <c r="IJI2" s="415"/>
      <c r="IJJ2" s="415"/>
      <c r="IJK2" s="415"/>
      <c r="IJL2" s="415"/>
      <c r="IJM2" s="415"/>
      <c r="IJN2" s="415"/>
      <c r="IJO2" s="415"/>
      <c r="IJP2" s="415"/>
      <c r="IJQ2" s="415"/>
      <c r="IJR2" s="415"/>
      <c r="IJS2" s="415"/>
      <c r="IJT2" s="415"/>
      <c r="IJU2" s="415"/>
      <c r="IJV2" s="415"/>
      <c r="IJW2" s="415"/>
      <c r="IJX2" s="415"/>
      <c r="IJY2" s="415"/>
      <c r="IJZ2" s="415"/>
      <c r="IKA2" s="415"/>
      <c r="IKB2" s="415"/>
      <c r="IKC2" s="415"/>
      <c r="IKD2" s="415"/>
      <c r="IKE2" s="415"/>
      <c r="IKF2" s="415"/>
      <c r="IKG2" s="415"/>
      <c r="IKH2" s="415"/>
      <c r="IKI2" s="415"/>
      <c r="IKJ2" s="415"/>
      <c r="IKK2" s="415"/>
      <c r="IKL2" s="415"/>
      <c r="IKM2" s="415"/>
      <c r="IKN2" s="415"/>
      <c r="IKO2" s="415"/>
      <c r="IKP2" s="415"/>
      <c r="IKQ2" s="415"/>
      <c r="IKR2" s="415"/>
      <c r="IKS2" s="415"/>
      <c r="IKT2" s="415"/>
      <c r="IKU2" s="415"/>
      <c r="IKV2" s="415"/>
      <c r="IKW2" s="415"/>
      <c r="IKX2" s="415"/>
      <c r="IKY2" s="415"/>
      <c r="IKZ2" s="415"/>
      <c r="ILA2" s="415"/>
      <c r="ILB2" s="415"/>
      <c r="ILC2" s="415"/>
      <c r="ILD2" s="415"/>
      <c r="ILE2" s="415"/>
      <c r="ILF2" s="415"/>
      <c r="ILG2" s="415"/>
      <c r="ILH2" s="415"/>
      <c r="ILI2" s="415"/>
      <c r="ILJ2" s="415"/>
      <c r="ILK2" s="415"/>
      <c r="ILL2" s="415"/>
      <c r="ILM2" s="415"/>
      <c r="ILN2" s="415"/>
      <c r="ILO2" s="415"/>
      <c r="ILP2" s="415"/>
      <c r="ILQ2" s="415"/>
      <c r="ILR2" s="415"/>
      <c r="ILS2" s="415"/>
      <c r="ILT2" s="415"/>
      <c r="ILU2" s="415"/>
      <c r="ILV2" s="415"/>
      <c r="ILW2" s="415"/>
      <c r="ILX2" s="415"/>
      <c r="ILY2" s="415"/>
      <c r="ILZ2" s="415"/>
      <c r="IMA2" s="415"/>
      <c r="IMB2" s="415"/>
      <c r="IMC2" s="415"/>
      <c r="IMD2" s="415"/>
      <c r="IME2" s="415"/>
      <c r="IMF2" s="415"/>
      <c r="IMG2" s="415"/>
      <c r="IMH2" s="415"/>
      <c r="IMI2" s="415"/>
      <c r="IMJ2" s="415"/>
      <c r="IMK2" s="415"/>
      <c r="IML2" s="415"/>
      <c r="IMM2" s="415"/>
      <c r="IMN2" s="415"/>
      <c r="IMO2" s="415"/>
      <c r="IMP2" s="415"/>
      <c r="IMQ2" s="415"/>
      <c r="IMR2" s="415"/>
      <c r="IMS2" s="415"/>
      <c r="IMT2" s="415"/>
      <c r="IMU2" s="415"/>
      <c r="IMV2" s="415"/>
      <c r="IMW2" s="415"/>
      <c r="IMX2" s="415"/>
      <c r="IMY2" s="415"/>
      <c r="IMZ2" s="415"/>
      <c r="INA2" s="415"/>
      <c r="INB2" s="415"/>
      <c r="INC2" s="415"/>
      <c r="IND2" s="415"/>
      <c r="INE2" s="415"/>
      <c r="INF2" s="415"/>
      <c r="ING2" s="415"/>
      <c r="INH2" s="415"/>
      <c r="INI2" s="415"/>
      <c r="INJ2" s="415"/>
      <c r="INK2" s="415"/>
      <c r="INL2" s="415"/>
      <c r="INM2" s="415"/>
      <c r="INN2" s="415"/>
      <c r="INO2" s="415"/>
      <c r="INP2" s="415"/>
      <c r="INQ2" s="415"/>
      <c r="INR2" s="415"/>
      <c r="INS2" s="415"/>
      <c r="INT2" s="415"/>
      <c r="INU2" s="415"/>
      <c r="INV2" s="415"/>
      <c r="INW2" s="415"/>
      <c r="INX2" s="415"/>
      <c r="INY2" s="415"/>
      <c r="INZ2" s="415"/>
      <c r="IOA2" s="415"/>
      <c r="IOB2" s="415"/>
      <c r="IOC2" s="415"/>
      <c r="IOD2" s="415"/>
      <c r="IOE2" s="415"/>
      <c r="IOF2" s="415"/>
      <c r="IOG2" s="415"/>
      <c r="IOH2" s="415"/>
      <c r="IOI2" s="415"/>
      <c r="IOJ2" s="415"/>
      <c r="IOK2" s="415"/>
      <c r="IOL2" s="415"/>
      <c r="IOM2" s="415"/>
      <c r="ION2" s="415"/>
      <c r="IOO2" s="415"/>
      <c r="IOP2" s="415"/>
      <c r="IOQ2" s="415"/>
      <c r="IOR2" s="415"/>
      <c r="IOS2" s="415"/>
      <c r="IOT2" s="415"/>
      <c r="IOU2" s="415"/>
      <c r="IOV2" s="415"/>
      <c r="IOW2" s="415"/>
      <c r="IOX2" s="415"/>
      <c r="IOY2" s="415"/>
      <c r="IOZ2" s="415"/>
      <c r="IPA2" s="415"/>
      <c r="IPB2" s="415"/>
      <c r="IPC2" s="415"/>
      <c r="IPD2" s="415"/>
      <c r="IPE2" s="415"/>
      <c r="IPF2" s="415"/>
      <c r="IPG2" s="415"/>
      <c r="IPH2" s="415"/>
      <c r="IPI2" s="415"/>
      <c r="IPJ2" s="415"/>
      <c r="IPK2" s="415"/>
      <c r="IPL2" s="415"/>
      <c r="IPM2" s="415"/>
      <c r="IPN2" s="415"/>
      <c r="IPO2" s="415"/>
      <c r="IPP2" s="415"/>
      <c r="IPQ2" s="415"/>
      <c r="IPR2" s="415"/>
      <c r="IPS2" s="415"/>
      <c r="IPT2" s="415"/>
      <c r="IPU2" s="415"/>
      <c r="IPV2" s="415"/>
      <c r="IPW2" s="415"/>
      <c r="IPX2" s="415"/>
      <c r="IPY2" s="415"/>
      <c r="IPZ2" s="415"/>
      <c r="IQA2" s="415"/>
      <c r="IQB2" s="415"/>
      <c r="IQC2" s="415"/>
      <c r="IQD2" s="415"/>
      <c r="IQE2" s="415"/>
      <c r="IQF2" s="415"/>
      <c r="IQG2" s="415"/>
      <c r="IQH2" s="415"/>
      <c r="IQI2" s="415"/>
      <c r="IQJ2" s="415"/>
      <c r="IQK2" s="415"/>
      <c r="IQL2" s="415"/>
      <c r="IQM2" s="415"/>
      <c r="IQN2" s="415"/>
      <c r="IQO2" s="415"/>
      <c r="IQP2" s="415"/>
      <c r="IQQ2" s="415"/>
      <c r="IQR2" s="415"/>
      <c r="IQS2" s="415"/>
      <c r="IQT2" s="415"/>
      <c r="IQU2" s="415"/>
      <c r="IQV2" s="415"/>
      <c r="IQW2" s="415"/>
      <c r="IQX2" s="415"/>
      <c r="IQY2" s="415"/>
      <c r="IQZ2" s="415"/>
      <c r="IRA2" s="415"/>
      <c r="IRB2" s="415"/>
      <c r="IRC2" s="415"/>
      <c r="IRD2" s="415"/>
      <c r="IRE2" s="415"/>
      <c r="IRF2" s="415"/>
      <c r="IRG2" s="415"/>
      <c r="IRH2" s="415"/>
      <c r="IRI2" s="415"/>
      <c r="IRJ2" s="415"/>
      <c r="IRK2" s="415"/>
      <c r="IRL2" s="415"/>
      <c r="IRM2" s="415"/>
      <c r="IRN2" s="415"/>
      <c r="IRO2" s="415"/>
      <c r="IRP2" s="415"/>
      <c r="IRQ2" s="415"/>
      <c r="IRR2" s="415"/>
      <c r="IRS2" s="415"/>
      <c r="IRT2" s="415"/>
      <c r="IRU2" s="415"/>
      <c r="IRV2" s="415"/>
      <c r="IRW2" s="415"/>
      <c r="IRX2" s="415"/>
      <c r="IRY2" s="415"/>
      <c r="IRZ2" s="415"/>
      <c r="ISA2" s="415"/>
      <c r="ISB2" s="415"/>
      <c r="ISC2" s="415"/>
      <c r="ISD2" s="415"/>
      <c r="ISE2" s="415"/>
      <c r="ISF2" s="415"/>
      <c r="ISG2" s="415"/>
      <c r="ISH2" s="415"/>
      <c r="ISI2" s="415"/>
      <c r="ISJ2" s="415"/>
      <c r="ISK2" s="415"/>
      <c r="ISL2" s="415"/>
      <c r="ISM2" s="415"/>
      <c r="ISN2" s="415"/>
      <c r="ISO2" s="415"/>
      <c r="ISP2" s="415"/>
      <c r="ISQ2" s="415"/>
      <c r="ISR2" s="415"/>
      <c r="ISS2" s="415"/>
      <c r="IST2" s="415"/>
      <c r="ISU2" s="415"/>
      <c r="ISV2" s="415"/>
      <c r="ISW2" s="415"/>
      <c r="ISX2" s="415"/>
      <c r="ISY2" s="415"/>
      <c r="ISZ2" s="415"/>
      <c r="ITA2" s="415"/>
      <c r="ITB2" s="415"/>
      <c r="ITC2" s="415"/>
      <c r="ITD2" s="415"/>
      <c r="ITE2" s="415"/>
      <c r="ITF2" s="415"/>
      <c r="ITG2" s="415"/>
      <c r="ITH2" s="415"/>
      <c r="ITI2" s="415"/>
      <c r="ITJ2" s="415"/>
      <c r="ITK2" s="415"/>
      <c r="ITL2" s="415"/>
      <c r="ITM2" s="415"/>
      <c r="ITN2" s="415"/>
      <c r="ITO2" s="415"/>
      <c r="ITP2" s="415"/>
      <c r="ITQ2" s="415"/>
      <c r="ITR2" s="415"/>
      <c r="ITS2" s="415"/>
      <c r="ITT2" s="415"/>
      <c r="ITU2" s="415"/>
      <c r="ITV2" s="415"/>
      <c r="ITW2" s="415"/>
      <c r="ITX2" s="415"/>
      <c r="ITY2" s="415"/>
      <c r="ITZ2" s="415"/>
      <c r="IUA2" s="415"/>
      <c r="IUB2" s="415"/>
      <c r="IUC2" s="415"/>
      <c r="IUD2" s="415"/>
      <c r="IUE2" s="415"/>
      <c r="IUF2" s="415"/>
      <c r="IUG2" s="415"/>
      <c r="IUH2" s="415"/>
      <c r="IUI2" s="415"/>
      <c r="IUJ2" s="415"/>
      <c r="IUK2" s="415"/>
      <c r="IUL2" s="415"/>
      <c r="IUM2" s="415"/>
      <c r="IUN2" s="415"/>
      <c r="IUO2" s="415"/>
      <c r="IUP2" s="415"/>
      <c r="IUQ2" s="415"/>
      <c r="IUR2" s="415"/>
      <c r="IUS2" s="415"/>
      <c r="IUT2" s="415"/>
      <c r="IUU2" s="415"/>
      <c r="IUV2" s="415"/>
      <c r="IUW2" s="415"/>
      <c r="IUX2" s="415"/>
      <c r="IUY2" s="415"/>
      <c r="IUZ2" s="415"/>
      <c r="IVA2" s="415"/>
      <c r="IVB2" s="415"/>
      <c r="IVC2" s="415"/>
      <c r="IVD2" s="415"/>
      <c r="IVE2" s="415"/>
      <c r="IVF2" s="415"/>
      <c r="IVG2" s="415"/>
      <c r="IVH2" s="415"/>
      <c r="IVI2" s="415"/>
      <c r="IVJ2" s="415"/>
      <c r="IVK2" s="415"/>
      <c r="IVL2" s="415"/>
      <c r="IVM2" s="415"/>
      <c r="IVN2" s="415"/>
      <c r="IVO2" s="415"/>
      <c r="IVP2" s="415"/>
      <c r="IVQ2" s="415"/>
      <c r="IVR2" s="415"/>
      <c r="IVS2" s="415"/>
      <c r="IVT2" s="415"/>
      <c r="IVU2" s="415"/>
      <c r="IVV2" s="415"/>
      <c r="IVW2" s="415"/>
      <c r="IVX2" s="415"/>
      <c r="IVY2" s="415"/>
      <c r="IVZ2" s="415"/>
      <c r="IWA2" s="415"/>
      <c r="IWB2" s="415"/>
      <c r="IWC2" s="415"/>
      <c r="IWD2" s="415"/>
      <c r="IWE2" s="415"/>
      <c r="IWF2" s="415"/>
      <c r="IWG2" s="415"/>
      <c r="IWH2" s="415"/>
      <c r="IWI2" s="415"/>
      <c r="IWJ2" s="415"/>
      <c r="IWK2" s="415"/>
      <c r="IWL2" s="415"/>
      <c r="IWM2" s="415"/>
      <c r="IWN2" s="415"/>
      <c r="IWO2" s="415"/>
      <c r="IWP2" s="415"/>
      <c r="IWQ2" s="415"/>
      <c r="IWR2" s="415"/>
      <c r="IWS2" s="415"/>
      <c r="IWT2" s="415"/>
      <c r="IWU2" s="415"/>
      <c r="IWV2" s="415"/>
      <c r="IWW2" s="415"/>
      <c r="IWX2" s="415"/>
      <c r="IWY2" s="415"/>
      <c r="IWZ2" s="415"/>
      <c r="IXA2" s="415"/>
      <c r="IXB2" s="415"/>
      <c r="IXC2" s="415"/>
      <c r="IXD2" s="415"/>
      <c r="IXE2" s="415"/>
      <c r="IXF2" s="415"/>
      <c r="IXG2" s="415"/>
      <c r="IXH2" s="415"/>
      <c r="IXI2" s="415"/>
      <c r="IXJ2" s="415"/>
      <c r="IXK2" s="415"/>
      <c r="IXL2" s="415"/>
      <c r="IXM2" s="415"/>
      <c r="IXN2" s="415"/>
      <c r="IXO2" s="415"/>
      <c r="IXP2" s="415"/>
      <c r="IXQ2" s="415"/>
      <c r="IXR2" s="415"/>
      <c r="IXS2" s="415"/>
      <c r="IXT2" s="415"/>
      <c r="IXU2" s="415"/>
      <c r="IXV2" s="415"/>
      <c r="IXW2" s="415"/>
      <c r="IXX2" s="415"/>
      <c r="IXY2" s="415"/>
      <c r="IXZ2" s="415"/>
      <c r="IYA2" s="415"/>
      <c r="IYB2" s="415"/>
      <c r="IYC2" s="415"/>
      <c r="IYD2" s="415"/>
      <c r="IYE2" s="415"/>
      <c r="IYF2" s="415"/>
      <c r="IYG2" s="415"/>
      <c r="IYH2" s="415"/>
      <c r="IYI2" s="415"/>
      <c r="IYJ2" s="415"/>
      <c r="IYK2" s="415"/>
      <c r="IYL2" s="415"/>
      <c r="IYM2" s="415"/>
      <c r="IYN2" s="415"/>
      <c r="IYO2" s="415"/>
      <c r="IYP2" s="415"/>
      <c r="IYQ2" s="415"/>
      <c r="IYR2" s="415"/>
      <c r="IYS2" s="415"/>
      <c r="IYT2" s="415"/>
      <c r="IYU2" s="415"/>
      <c r="IYV2" s="415"/>
      <c r="IYW2" s="415"/>
      <c r="IYX2" s="415"/>
      <c r="IYY2" s="415"/>
      <c r="IYZ2" s="415"/>
      <c r="IZA2" s="415"/>
      <c r="IZB2" s="415"/>
      <c r="IZC2" s="415"/>
      <c r="IZD2" s="415"/>
      <c r="IZE2" s="415"/>
      <c r="IZF2" s="415"/>
      <c r="IZG2" s="415"/>
      <c r="IZH2" s="415"/>
      <c r="IZI2" s="415"/>
      <c r="IZJ2" s="415"/>
      <c r="IZK2" s="415"/>
      <c r="IZL2" s="415"/>
      <c r="IZM2" s="415"/>
      <c r="IZN2" s="415"/>
      <c r="IZO2" s="415"/>
      <c r="IZP2" s="415"/>
      <c r="IZQ2" s="415"/>
      <c r="IZR2" s="415"/>
      <c r="IZS2" s="415"/>
      <c r="IZT2" s="415"/>
      <c r="IZU2" s="415"/>
      <c r="IZV2" s="415"/>
      <c r="IZW2" s="415"/>
      <c r="IZX2" s="415"/>
      <c r="IZY2" s="415"/>
      <c r="IZZ2" s="415"/>
      <c r="JAA2" s="415"/>
      <c r="JAB2" s="415"/>
      <c r="JAC2" s="415"/>
      <c r="JAD2" s="415"/>
      <c r="JAE2" s="415"/>
      <c r="JAF2" s="415"/>
      <c r="JAG2" s="415"/>
      <c r="JAH2" s="415"/>
      <c r="JAI2" s="415"/>
      <c r="JAJ2" s="415"/>
      <c r="JAK2" s="415"/>
      <c r="JAL2" s="415"/>
      <c r="JAM2" s="415"/>
      <c r="JAN2" s="415"/>
      <c r="JAO2" s="415"/>
      <c r="JAP2" s="415"/>
      <c r="JAQ2" s="415"/>
      <c r="JAR2" s="415"/>
      <c r="JAS2" s="415"/>
      <c r="JAT2" s="415"/>
      <c r="JAU2" s="415"/>
      <c r="JAV2" s="415"/>
      <c r="JAW2" s="415"/>
      <c r="JAX2" s="415"/>
      <c r="JAY2" s="415"/>
      <c r="JAZ2" s="415"/>
      <c r="JBA2" s="415"/>
      <c r="JBB2" s="415"/>
      <c r="JBC2" s="415"/>
      <c r="JBD2" s="415"/>
      <c r="JBE2" s="415"/>
      <c r="JBF2" s="415"/>
      <c r="JBG2" s="415"/>
      <c r="JBH2" s="415"/>
      <c r="JBI2" s="415"/>
      <c r="JBJ2" s="415"/>
      <c r="JBK2" s="415"/>
      <c r="JBL2" s="415"/>
      <c r="JBM2" s="415"/>
      <c r="JBN2" s="415"/>
      <c r="JBO2" s="415"/>
      <c r="JBP2" s="415"/>
      <c r="JBQ2" s="415"/>
      <c r="JBR2" s="415"/>
      <c r="JBS2" s="415"/>
      <c r="JBT2" s="415"/>
      <c r="JBU2" s="415"/>
      <c r="JBV2" s="415"/>
      <c r="JBW2" s="415"/>
      <c r="JBX2" s="415"/>
      <c r="JBY2" s="415"/>
      <c r="JBZ2" s="415"/>
      <c r="JCA2" s="415"/>
      <c r="JCB2" s="415"/>
      <c r="JCC2" s="415"/>
      <c r="JCD2" s="415"/>
      <c r="JCE2" s="415"/>
      <c r="JCF2" s="415"/>
      <c r="JCG2" s="415"/>
      <c r="JCH2" s="415"/>
      <c r="JCI2" s="415"/>
      <c r="JCJ2" s="415"/>
      <c r="JCK2" s="415"/>
      <c r="JCL2" s="415"/>
      <c r="JCM2" s="415"/>
      <c r="JCN2" s="415"/>
      <c r="JCO2" s="415"/>
      <c r="JCP2" s="415"/>
      <c r="JCQ2" s="415"/>
      <c r="JCR2" s="415"/>
      <c r="JCS2" s="415"/>
      <c r="JCT2" s="415"/>
      <c r="JCU2" s="415"/>
      <c r="JCV2" s="415"/>
      <c r="JCW2" s="415"/>
      <c r="JCX2" s="415"/>
      <c r="JCY2" s="415"/>
      <c r="JCZ2" s="415"/>
      <c r="JDA2" s="415"/>
      <c r="JDB2" s="415"/>
      <c r="JDC2" s="415"/>
      <c r="JDD2" s="415"/>
      <c r="JDE2" s="415"/>
      <c r="JDF2" s="415"/>
      <c r="JDG2" s="415"/>
      <c r="JDH2" s="415"/>
      <c r="JDI2" s="415"/>
      <c r="JDJ2" s="415"/>
      <c r="JDK2" s="415"/>
      <c r="JDL2" s="415"/>
      <c r="JDM2" s="415"/>
      <c r="JDN2" s="415"/>
      <c r="JDO2" s="415"/>
      <c r="JDP2" s="415"/>
      <c r="JDQ2" s="415"/>
      <c r="JDR2" s="415"/>
      <c r="JDS2" s="415"/>
      <c r="JDT2" s="415"/>
      <c r="JDU2" s="415"/>
      <c r="JDV2" s="415"/>
      <c r="JDW2" s="415"/>
      <c r="JDX2" s="415"/>
      <c r="JDY2" s="415"/>
      <c r="JDZ2" s="415"/>
      <c r="JEA2" s="415"/>
      <c r="JEB2" s="415"/>
      <c r="JEC2" s="415"/>
      <c r="JED2" s="415"/>
      <c r="JEE2" s="415"/>
      <c r="JEF2" s="415"/>
      <c r="JEG2" s="415"/>
      <c r="JEH2" s="415"/>
      <c r="JEI2" s="415"/>
      <c r="JEJ2" s="415"/>
      <c r="JEK2" s="415"/>
      <c r="JEL2" s="415"/>
      <c r="JEM2" s="415"/>
      <c r="JEN2" s="415"/>
      <c r="JEO2" s="415"/>
      <c r="JEP2" s="415"/>
      <c r="JEQ2" s="415"/>
      <c r="JER2" s="415"/>
      <c r="JES2" s="415"/>
      <c r="JET2" s="415"/>
      <c r="JEU2" s="415"/>
      <c r="JEV2" s="415"/>
      <c r="JEW2" s="415"/>
      <c r="JEX2" s="415"/>
      <c r="JEY2" s="415"/>
      <c r="JEZ2" s="415"/>
      <c r="JFA2" s="415"/>
      <c r="JFB2" s="415"/>
      <c r="JFC2" s="415"/>
      <c r="JFD2" s="415"/>
      <c r="JFE2" s="415"/>
      <c r="JFF2" s="415"/>
      <c r="JFG2" s="415"/>
      <c r="JFH2" s="415"/>
      <c r="JFI2" s="415"/>
      <c r="JFJ2" s="415"/>
      <c r="JFK2" s="415"/>
      <c r="JFL2" s="415"/>
      <c r="JFM2" s="415"/>
      <c r="JFN2" s="415"/>
      <c r="JFO2" s="415"/>
      <c r="JFP2" s="415"/>
      <c r="JFQ2" s="415"/>
      <c r="JFR2" s="415"/>
      <c r="JFS2" s="415"/>
      <c r="JFT2" s="415"/>
      <c r="JFU2" s="415"/>
      <c r="JFV2" s="415"/>
      <c r="JFW2" s="415"/>
      <c r="JFX2" s="415"/>
      <c r="JFY2" s="415"/>
      <c r="JFZ2" s="415"/>
      <c r="JGA2" s="415"/>
      <c r="JGB2" s="415"/>
      <c r="JGC2" s="415"/>
      <c r="JGD2" s="415"/>
      <c r="JGE2" s="415"/>
      <c r="JGF2" s="415"/>
      <c r="JGG2" s="415"/>
      <c r="JGH2" s="415"/>
      <c r="JGI2" s="415"/>
      <c r="JGJ2" s="415"/>
      <c r="JGK2" s="415"/>
      <c r="JGL2" s="415"/>
      <c r="JGM2" s="415"/>
      <c r="JGN2" s="415"/>
      <c r="JGO2" s="415"/>
      <c r="JGP2" s="415"/>
      <c r="JGQ2" s="415"/>
      <c r="JGR2" s="415"/>
      <c r="JGS2" s="415"/>
      <c r="JGT2" s="415"/>
      <c r="JGU2" s="415"/>
      <c r="JGV2" s="415"/>
      <c r="JGW2" s="415"/>
      <c r="JGX2" s="415"/>
      <c r="JGY2" s="415"/>
      <c r="JGZ2" s="415"/>
      <c r="JHA2" s="415"/>
      <c r="JHB2" s="415"/>
      <c r="JHC2" s="415"/>
      <c r="JHD2" s="415"/>
      <c r="JHE2" s="415"/>
      <c r="JHF2" s="415"/>
      <c r="JHG2" s="415"/>
      <c r="JHH2" s="415"/>
      <c r="JHI2" s="415"/>
      <c r="JHJ2" s="415"/>
      <c r="JHK2" s="415"/>
      <c r="JHL2" s="415"/>
      <c r="JHM2" s="415"/>
      <c r="JHN2" s="415"/>
      <c r="JHO2" s="415"/>
      <c r="JHP2" s="415"/>
      <c r="JHQ2" s="415"/>
      <c r="JHR2" s="415"/>
      <c r="JHS2" s="415"/>
      <c r="JHT2" s="415"/>
      <c r="JHU2" s="415"/>
      <c r="JHV2" s="415"/>
      <c r="JHW2" s="415"/>
      <c r="JHX2" s="415"/>
      <c r="JHY2" s="415"/>
      <c r="JHZ2" s="415"/>
      <c r="JIA2" s="415"/>
      <c r="JIB2" s="415"/>
      <c r="JIC2" s="415"/>
      <c r="JID2" s="415"/>
      <c r="JIE2" s="415"/>
      <c r="JIF2" s="415"/>
      <c r="JIG2" s="415"/>
      <c r="JIH2" s="415"/>
      <c r="JII2" s="415"/>
      <c r="JIJ2" s="415"/>
      <c r="JIK2" s="415"/>
      <c r="JIL2" s="415"/>
      <c r="JIM2" s="415"/>
      <c r="JIN2" s="415"/>
      <c r="JIO2" s="415"/>
      <c r="JIP2" s="415"/>
      <c r="JIQ2" s="415"/>
      <c r="JIR2" s="415"/>
      <c r="JIS2" s="415"/>
      <c r="JIT2" s="415"/>
      <c r="JIU2" s="415"/>
      <c r="JIV2" s="415"/>
      <c r="JIW2" s="415"/>
      <c r="JIX2" s="415"/>
      <c r="JIY2" s="415"/>
      <c r="JIZ2" s="415"/>
      <c r="JJA2" s="415"/>
      <c r="JJB2" s="415"/>
      <c r="JJC2" s="415"/>
      <c r="JJD2" s="415"/>
      <c r="JJE2" s="415"/>
      <c r="JJF2" s="415"/>
      <c r="JJG2" s="415"/>
      <c r="JJH2" s="415"/>
      <c r="JJI2" s="415"/>
      <c r="JJJ2" s="415"/>
      <c r="JJK2" s="415"/>
      <c r="JJL2" s="415"/>
      <c r="JJM2" s="415"/>
      <c r="JJN2" s="415"/>
      <c r="JJO2" s="415"/>
      <c r="JJP2" s="415"/>
      <c r="JJQ2" s="415"/>
      <c r="JJR2" s="415"/>
      <c r="JJS2" s="415"/>
      <c r="JJT2" s="415"/>
      <c r="JJU2" s="415"/>
      <c r="JJV2" s="415"/>
      <c r="JJW2" s="415"/>
      <c r="JJX2" s="415"/>
      <c r="JJY2" s="415"/>
      <c r="JJZ2" s="415"/>
      <c r="JKA2" s="415"/>
      <c r="JKB2" s="415"/>
      <c r="JKC2" s="415"/>
      <c r="JKD2" s="415"/>
      <c r="JKE2" s="415"/>
      <c r="JKF2" s="415"/>
      <c r="JKG2" s="415"/>
      <c r="JKH2" s="415"/>
      <c r="JKI2" s="415"/>
      <c r="JKJ2" s="415"/>
      <c r="JKK2" s="415"/>
      <c r="JKL2" s="415"/>
      <c r="JKM2" s="415"/>
      <c r="JKN2" s="415"/>
      <c r="JKO2" s="415"/>
      <c r="JKP2" s="415"/>
      <c r="JKQ2" s="415"/>
      <c r="JKR2" s="415"/>
      <c r="JKS2" s="415"/>
      <c r="JKT2" s="415"/>
      <c r="JKU2" s="415"/>
      <c r="JKV2" s="415"/>
      <c r="JKW2" s="415"/>
      <c r="JKX2" s="415"/>
      <c r="JKY2" s="415"/>
      <c r="JKZ2" s="415"/>
      <c r="JLA2" s="415"/>
      <c r="JLB2" s="415"/>
      <c r="JLC2" s="415"/>
      <c r="JLD2" s="415"/>
      <c r="JLE2" s="415"/>
      <c r="JLF2" s="415"/>
      <c r="JLG2" s="415"/>
      <c r="JLH2" s="415"/>
      <c r="JLI2" s="415"/>
      <c r="JLJ2" s="415"/>
      <c r="JLK2" s="415"/>
      <c r="JLL2" s="415"/>
      <c r="JLM2" s="415"/>
      <c r="JLN2" s="415"/>
      <c r="JLO2" s="415"/>
      <c r="JLP2" s="415"/>
      <c r="JLQ2" s="415"/>
      <c r="JLR2" s="415"/>
      <c r="JLS2" s="415"/>
      <c r="JLT2" s="415"/>
      <c r="JLU2" s="415"/>
      <c r="JLV2" s="415"/>
      <c r="JLW2" s="415"/>
      <c r="JLX2" s="415"/>
      <c r="JLY2" s="415"/>
      <c r="JLZ2" s="415"/>
      <c r="JMA2" s="415"/>
      <c r="JMB2" s="415"/>
      <c r="JMC2" s="415"/>
      <c r="JMD2" s="415"/>
      <c r="JME2" s="415"/>
      <c r="JMF2" s="415"/>
      <c r="JMG2" s="415"/>
      <c r="JMH2" s="415"/>
      <c r="JMI2" s="415"/>
      <c r="JMJ2" s="415"/>
      <c r="JMK2" s="415"/>
      <c r="JML2" s="415"/>
      <c r="JMM2" s="415"/>
      <c r="JMN2" s="415"/>
      <c r="JMO2" s="415"/>
      <c r="JMP2" s="415"/>
      <c r="JMQ2" s="415"/>
      <c r="JMR2" s="415"/>
      <c r="JMS2" s="415"/>
      <c r="JMT2" s="415"/>
      <c r="JMU2" s="415"/>
      <c r="JMV2" s="415"/>
      <c r="JMW2" s="415"/>
      <c r="JMX2" s="415"/>
      <c r="JMY2" s="415"/>
      <c r="JMZ2" s="415"/>
      <c r="JNA2" s="415"/>
      <c r="JNB2" s="415"/>
      <c r="JNC2" s="415"/>
      <c r="JND2" s="415"/>
      <c r="JNE2" s="415"/>
      <c r="JNF2" s="415"/>
      <c r="JNG2" s="415"/>
      <c r="JNH2" s="415"/>
      <c r="JNI2" s="415"/>
      <c r="JNJ2" s="415"/>
      <c r="JNK2" s="415"/>
      <c r="JNL2" s="415"/>
      <c r="JNM2" s="415"/>
      <c r="JNN2" s="415"/>
      <c r="JNO2" s="415"/>
      <c r="JNP2" s="415"/>
      <c r="JNQ2" s="415"/>
      <c r="JNR2" s="415"/>
      <c r="JNS2" s="415"/>
      <c r="JNT2" s="415"/>
      <c r="JNU2" s="415"/>
      <c r="JNV2" s="415"/>
      <c r="JNW2" s="415"/>
      <c r="JNX2" s="415"/>
      <c r="JNY2" s="415"/>
      <c r="JNZ2" s="415"/>
      <c r="JOA2" s="415"/>
      <c r="JOB2" s="415"/>
      <c r="JOC2" s="415"/>
      <c r="JOD2" s="415"/>
      <c r="JOE2" s="415"/>
      <c r="JOF2" s="415"/>
      <c r="JOG2" s="415"/>
      <c r="JOH2" s="415"/>
      <c r="JOI2" s="415"/>
      <c r="JOJ2" s="415"/>
      <c r="JOK2" s="415"/>
      <c r="JOL2" s="415"/>
      <c r="JOM2" s="415"/>
      <c r="JON2" s="415"/>
      <c r="JOO2" s="415"/>
      <c r="JOP2" s="415"/>
      <c r="JOQ2" s="415"/>
      <c r="JOR2" s="415"/>
      <c r="JOS2" s="415"/>
      <c r="JOT2" s="415"/>
      <c r="JOU2" s="415"/>
      <c r="JOV2" s="415"/>
      <c r="JOW2" s="415"/>
      <c r="JOX2" s="415"/>
      <c r="JOY2" s="415"/>
      <c r="JOZ2" s="415"/>
      <c r="JPA2" s="415"/>
      <c r="JPB2" s="415"/>
      <c r="JPC2" s="415"/>
      <c r="JPD2" s="415"/>
      <c r="JPE2" s="415"/>
      <c r="JPF2" s="415"/>
      <c r="JPG2" s="415"/>
      <c r="JPH2" s="415"/>
      <c r="JPI2" s="415"/>
      <c r="JPJ2" s="415"/>
      <c r="JPK2" s="415"/>
      <c r="JPL2" s="415"/>
      <c r="JPM2" s="415"/>
      <c r="JPN2" s="415"/>
      <c r="JPO2" s="415"/>
      <c r="JPP2" s="415"/>
      <c r="JPQ2" s="415"/>
      <c r="JPR2" s="415"/>
      <c r="JPS2" s="415"/>
      <c r="JPT2" s="415"/>
      <c r="JPU2" s="415"/>
      <c r="JPV2" s="415"/>
      <c r="JPW2" s="415"/>
      <c r="JPX2" s="415"/>
      <c r="JPY2" s="415"/>
      <c r="JPZ2" s="415"/>
      <c r="JQA2" s="415"/>
      <c r="JQB2" s="415"/>
      <c r="JQC2" s="415"/>
      <c r="JQD2" s="415"/>
      <c r="JQE2" s="415"/>
      <c r="JQF2" s="415"/>
      <c r="JQG2" s="415"/>
      <c r="JQH2" s="415"/>
      <c r="JQI2" s="415"/>
      <c r="JQJ2" s="415"/>
      <c r="JQK2" s="415"/>
      <c r="JQL2" s="415"/>
      <c r="JQM2" s="415"/>
      <c r="JQN2" s="415"/>
      <c r="JQO2" s="415"/>
      <c r="JQP2" s="415"/>
      <c r="JQQ2" s="415"/>
      <c r="JQR2" s="415"/>
      <c r="JQS2" s="415"/>
      <c r="JQT2" s="415"/>
      <c r="JQU2" s="415"/>
      <c r="JQV2" s="415"/>
      <c r="JQW2" s="415"/>
      <c r="JQX2" s="415"/>
      <c r="JQY2" s="415"/>
      <c r="JQZ2" s="415"/>
      <c r="JRA2" s="415"/>
      <c r="JRB2" s="415"/>
      <c r="JRC2" s="415"/>
      <c r="JRD2" s="415"/>
      <c r="JRE2" s="415"/>
      <c r="JRF2" s="415"/>
      <c r="JRG2" s="415"/>
      <c r="JRH2" s="415"/>
      <c r="JRI2" s="415"/>
      <c r="JRJ2" s="415"/>
      <c r="JRK2" s="415"/>
      <c r="JRL2" s="415"/>
      <c r="JRM2" s="415"/>
      <c r="JRN2" s="415"/>
      <c r="JRO2" s="415"/>
      <c r="JRP2" s="415"/>
      <c r="JRQ2" s="415"/>
      <c r="JRR2" s="415"/>
      <c r="JRS2" s="415"/>
      <c r="JRT2" s="415"/>
      <c r="JRU2" s="415"/>
      <c r="JRV2" s="415"/>
      <c r="JRW2" s="415"/>
      <c r="JRX2" s="415"/>
      <c r="JRY2" s="415"/>
      <c r="JRZ2" s="415"/>
      <c r="JSA2" s="415"/>
      <c r="JSB2" s="415"/>
      <c r="JSC2" s="415"/>
      <c r="JSD2" s="415"/>
      <c r="JSE2" s="415"/>
      <c r="JSF2" s="415"/>
      <c r="JSG2" s="415"/>
      <c r="JSH2" s="415"/>
      <c r="JSI2" s="415"/>
      <c r="JSJ2" s="415"/>
      <c r="JSK2" s="415"/>
      <c r="JSL2" s="415"/>
      <c r="JSM2" s="415"/>
      <c r="JSN2" s="415"/>
      <c r="JSO2" s="415"/>
      <c r="JSP2" s="415"/>
      <c r="JSQ2" s="415"/>
      <c r="JSR2" s="415"/>
      <c r="JSS2" s="415"/>
      <c r="JST2" s="415"/>
      <c r="JSU2" s="415"/>
      <c r="JSV2" s="415"/>
      <c r="JSW2" s="415"/>
      <c r="JSX2" s="415"/>
      <c r="JSY2" s="415"/>
      <c r="JSZ2" s="415"/>
      <c r="JTA2" s="415"/>
      <c r="JTB2" s="415"/>
      <c r="JTC2" s="415"/>
      <c r="JTD2" s="415"/>
      <c r="JTE2" s="415"/>
      <c r="JTF2" s="415"/>
      <c r="JTG2" s="415"/>
      <c r="JTH2" s="415"/>
      <c r="JTI2" s="415"/>
      <c r="JTJ2" s="415"/>
      <c r="JTK2" s="415"/>
      <c r="JTL2" s="415"/>
      <c r="JTM2" s="415"/>
      <c r="JTN2" s="415"/>
      <c r="JTO2" s="415"/>
      <c r="JTP2" s="415"/>
      <c r="JTQ2" s="415"/>
      <c r="JTR2" s="415"/>
      <c r="JTS2" s="415"/>
      <c r="JTT2" s="415"/>
      <c r="JTU2" s="415"/>
      <c r="JTV2" s="415"/>
      <c r="JTW2" s="415"/>
      <c r="JTX2" s="415"/>
      <c r="JTY2" s="415"/>
      <c r="JTZ2" s="415"/>
      <c r="JUA2" s="415"/>
      <c r="JUB2" s="415"/>
      <c r="JUC2" s="415"/>
      <c r="JUD2" s="415"/>
      <c r="JUE2" s="415"/>
      <c r="JUF2" s="415"/>
      <c r="JUG2" s="415"/>
      <c r="JUH2" s="415"/>
      <c r="JUI2" s="415"/>
      <c r="JUJ2" s="415"/>
      <c r="JUK2" s="415"/>
      <c r="JUL2" s="415"/>
      <c r="JUM2" s="415"/>
      <c r="JUN2" s="415"/>
      <c r="JUO2" s="415"/>
      <c r="JUP2" s="415"/>
      <c r="JUQ2" s="415"/>
      <c r="JUR2" s="415"/>
      <c r="JUS2" s="415"/>
      <c r="JUT2" s="415"/>
      <c r="JUU2" s="415"/>
      <c r="JUV2" s="415"/>
      <c r="JUW2" s="415"/>
      <c r="JUX2" s="415"/>
      <c r="JUY2" s="415"/>
      <c r="JUZ2" s="415"/>
      <c r="JVA2" s="415"/>
      <c r="JVB2" s="415"/>
      <c r="JVC2" s="415"/>
      <c r="JVD2" s="415"/>
      <c r="JVE2" s="415"/>
      <c r="JVF2" s="415"/>
      <c r="JVG2" s="415"/>
      <c r="JVH2" s="415"/>
      <c r="JVI2" s="415"/>
      <c r="JVJ2" s="415"/>
      <c r="JVK2" s="415"/>
      <c r="JVL2" s="415"/>
      <c r="JVM2" s="415"/>
      <c r="JVN2" s="415"/>
      <c r="JVO2" s="415"/>
      <c r="JVP2" s="415"/>
      <c r="JVQ2" s="415"/>
      <c r="JVR2" s="415"/>
      <c r="JVS2" s="415"/>
      <c r="JVT2" s="415"/>
      <c r="JVU2" s="415"/>
      <c r="JVV2" s="415"/>
      <c r="JVW2" s="415"/>
      <c r="JVX2" s="415"/>
      <c r="JVY2" s="415"/>
      <c r="JVZ2" s="415"/>
      <c r="JWA2" s="415"/>
      <c r="JWB2" s="415"/>
      <c r="JWC2" s="415"/>
      <c r="JWD2" s="415"/>
      <c r="JWE2" s="415"/>
      <c r="JWF2" s="415"/>
      <c r="JWG2" s="415"/>
      <c r="JWH2" s="415"/>
      <c r="JWI2" s="415"/>
      <c r="JWJ2" s="415"/>
      <c r="JWK2" s="415"/>
      <c r="JWL2" s="415"/>
      <c r="JWM2" s="415"/>
      <c r="JWN2" s="415"/>
      <c r="JWO2" s="415"/>
      <c r="JWP2" s="415"/>
      <c r="JWQ2" s="415"/>
      <c r="JWR2" s="415"/>
      <c r="JWS2" s="415"/>
      <c r="JWT2" s="415"/>
      <c r="JWU2" s="415"/>
      <c r="JWV2" s="415"/>
      <c r="JWW2" s="415"/>
      <c r="JWX2" s="415"/>
      <c r="JWY2" s="415"/>
      <c r="JWZ2" s="415"/>
      <c r="JXA2" s="415"/>
      <c r="JXB2" s="415"/>
      <c r="JXC2" s="415"/>
      <c r="JXD2" s="415"/>
      <c r="JXE2" s="415"/>
      <c r="JXF2" s="415"/>
      <c r="JXG2" s="415"/>
      <c r="JXH2" s="415"/>
      <c r="JXI2" s="415"/>
      <c r="JXJ2" s="415"/>
      <c r="JXK2" s="415"/>
      <c r="JXL2" s="415"/>
      <c r="JXM2" s="415"/>
      <c r="JXN2" s="415"/>
      <c r="JXO2" s="415"/>
      <c r="JXP2" s="415"/>
      <c r="JXQ2" s="415"/>
      <c r="JXR2" s="415"/>
      <c r="JXS2" s="415"/>
      <c r="JXT2" s="415"/>
      <c r="JXU2" s="415"/>
      <c r="JXV2" s="415"/>
      <c r="JXW2" s="415"/>
      <c r="JXX2" s="415"/>
      <c r="JXY2" s="415"/>
      <c r="JXZ2" s="415"/>
      <c r="JYA2" s="415"/>
      <c r="JYB2" s="415"/>
      <c r="JYC2" s="415"/>
      <c r="JYD2" s="415"/>
      <c r="JYE2" s="415"/>
      <c r="JYF2" s="415"/>
      <c r="JYG2" s="415"/>
      <c r="JYH2" s="415"/>
      <c r="JYI2" s="415"/>
      <c r="JYJ2" s="415"/>
      <c r="JYK2" s="415"/>
      <c r="JYL2" s="415"/>
      <c r="JYM2" s="415"/>
      <c r="JYN2" s="415"/>
      <c r="JYO2" s="415"/>
      <c r="JYP2" s="415"/>
      <c r="JYQ2" s="415"/>
      <c r="JYR2" s="415"/>
      <c r="JYS2" s="415"/>
      <c r="JYT2" s="415"/>
      <c r="JYU2" s="415"/>
      <c r="JYV2" s="415"/>
      <c r="JYW2" s="415"/>
      <c r="JYX2" s="415"/>
      <c r="JYY2" s="415"/>
      <c r="JYZ2" s="415"/>
      <c r="JZA2" s="415"/>
      <c r="JZB2" s="415"/>
      <c r="JZC2" s="415"/>
      <c r="JZD2" s="415"/>
      <c r="JZE2" s="415"/>
      <c r="JZF2" s="415"/>
      <c r="JZG2" s="415"/>
      <c r="JZH2" s="415"/>
      <c r="JZI2" s="415"/>
      <c r="JZJ2" s="415"/>
      <c r="JZK2" s="415"/>
      <c r="JZL2" s="415"/>
      <c r="JZM2" s="415"/>
      <c r="JZN2" s="415"/>
      <c r="JZO2" s="415"/>
      <c r="JZP2" s="415"/>
      <c r="JZQ2" s="415"/>
      <c r="JZR2" s="415"/>
      <c r="JZS2" s="415"/>
      <c r="JZT2" s="415"/>
      <c r="JZU2" s="415"/>
      <c r="JZV2" s="415"/>
      <c r="JZW2" s="415"/>
      <c r="JZX2" s="415"/>
      <c r="JZY2" s="415"/>
      <c r="JZZ2" s="415"/>
      <c r="KAA2" s="415"/>
      <c r="KAB2" s="415"/>
      <c r="KAC2" s="415"/>
      <c r="KAD2" s="415"/>
      <c r="KAE2" s="415"/>
      <c r="KAF2" s="415"/>
      <c r="KAG2" s="415"/>
      <c r="KAH2" s="415"/>
      <c r="KAI2" s="415"/>
      <c r="KAJ2" s="415"/>
      <c r="KAK2" s="415"/>
      <c r="KAL2" s="415"/>
      <c r="KAM2" s="415"/>
      <c r="KAN2" s="415"/>
      <c r="KAO2" s="415"/>
      <c r="KAP2" s="415"/>
      <c r="KAQ2" s="415"/>
      <c r="KAR2" s="415"/>
      <c r="KAS2" s="415"/>
      <c r="KAT2" s="415"/>
      <c r="KAU2" s="415"/>
      <c r="KAV2" s="415"/>
      <c r="KAW2" s="415"/>
      <c r="KAX2" s="415"/>
      <c r="KAY2" s="415"/>
      <c r="KAZ2" s="415"/>
      <c r="KBA2" s="415"/>
      <c r="KBB2" s="415"/>
      <c r="KBC2" s="415"/>
      <c r="KBD2" s="415"/>
      <c r="KBE2" s="415"/>
      <c r="KBF2" s="415"/>
      <c r="KBG2" s="415"/>
      <c r="KBH2" s="415"/>
      <c r="KBI2" s="415"/>
      <c r="KBJ2" s="415"/>
      <c r="KBK2" s="415"/>
      <c r="KBL2" s="415"/>
      <c r="KBM2" s="415"/>
      <c r="KBN2" s="415"/>
      <c r="KBO2" s="415"/>
      <c r="KBP2" s="415"/>
      <c r="KBQ2" s="415"/>
      <c r="KBR2" s="415"/>
      <c r="KBS2" s="415"/>
      <c r="KBT2" s="415"/>
      <c r="KBU2" s="415"/>
      <c r="KBV2" s="415"/>
      <c r="KBW2" s="415"/>
      <c r="KBX2" s="415"/>
      <c r="KBY2" s="415"/>
      <c r="KBZ2" s="415"/>
      <c r="KCA2" s="415"/>
      <c r="KCB2" s="415"/>
      <c r="KCC2" s="415"/>
      <c r="KCD2" s="415"/>
      <c r="KCE2" s="415"/>
      <c r="KCF2" s="415"/>
      <c r="KCG2" s="415"/>
      <c r="KCH2" s="415"/>
      <c r="KCI2" s="415"/>
      <c r="KCJ2" s="415"/>
      <c r="KCK2" s="415"/>
      <c r="KCL2" s="415"/>
      <c r="KCM2" s="415"/>
      <c r="KCN2" s="415"/>
      <c r="KCO2" s="415"/>
      <c r="KCP2" s="415"/>
      <c r="KCQ2" s="415"/>
      <c r="KCR2" s="415"/>
      <c r="KCS2" s="415"/>
      <c r="KCT2" s="415"/>
      <c r="KCU2" s="415"/>
      <c r="KCV2" s="415"/>
      <c r="KCW2" s="415"/>
      <c r="KCX2" s="415"/>
      <c r="KCY2" s="415"/>
      <c r="KCZ2" s="415"/>
      <c r="KDA2" s="415"/>
      <c r="KDB2" s="415"/>
      <c r="KDC2" s="415"/>
      <c r="KDD2" s="415"/>
      <c r="KDE2" s="415"/>
      <c r="KDF2" s="415"/>
      <c r="KDG2" s="415"/>
      <c r="KDH2" s="415"/>
      <c r="KDI2" s="415"/>
      <c r="KDJ2" s="415"/>
      <c r="KDK2" s="415"/>
      <c r="KDL2" s="415"/>
      <c r="KDM2" s="415"/>
      <c r="KDN2" s="415"/>
      <c r="KDO2" s="415"/>
      <c r="KDP2" s="415"/>
      <c r="KDQ2" s="415"/>
      <c r="KDR2" s="415"/>
      <c r="KDS2" s="415"/>
      <c r="KDT2" s="415"/>
      <c r="KDU2" s="415"/>
      <c r="KDV2" s="415"/>
      <c r="KDW2" s="415"/>
      <c r="KDX2" s="415"/>
      <c r="KDY2" s="415"/>
      <c r="KDZ2" s="415"/>
      <c r="KEA2" s="415"/>
      <c r="KEB2" s="415"/>
      <c r="KEC2" s="415"/>
      <c r="KED2" s="415"/>
      <c r="KEE2" s="415"/>
      <c r="KEF2" s="415"/>
      <c r="KEG2" s="415"/>
      <c r="KEH2" s="415"/>
      <c r="KEI2" s="415"/>
      <c r="KEJ2" s="415"/>
      <c r="KEK2" s="415"/>
      <c r="KEL2" s="415"/>
      <c r="KEM2" s="415"/>
      <c r="KEN2" s="415"/>
      <c r="KEO2" s="415"/>
      <c r="KEP2" s="415"/>
      <c r="KEQ2" s="415"/>
      <c r="KER2" s="415"/>
      <c r="KES2" s="415"/>
      <c r="KET2" s="415"/>
      <c r="KEU2" s="415"/>
      <c r="KEV2" s="415"/>
      <c r="KEW2" s="415"/>
      <c r="KEX2" s="415"/>
      <c r="KEY2" s="415"/>
      <c r="KEZ2" s="415"/>
      <c r="KFA2" s="415"/>
      <c r="KFB2" s="415"/>
      <c r="KFC2" s="415"/>
      <c r="KFD2" s="415"/>
      <c r="KFE2" s="415"/>
      <c r="KFF2" s="415"/>
      <c r="KFG2" s="415"/>
      <c r="KFH2" s="415"/>
      <c r="KFI2" s="415"/>
      <c r="KFJ2" s="415"/>
      <c r="KFK2" s="415"/>
      <c r="KFL2" s="415"/>
      <c r="KFM2" s="415"/>
      <c r="KFN2" s="415"/>
      <c r="KFO2" s="415"/>
      <c r="KFP2" s="415"/>
      <c r="KFQ2" s="415"/>
      <c r="KFR2" s="415"/>
      <c r="KFS2" s="415"/>
      <c r="KFT2" s="415"/>
      <c r="KFU2" s="415"/>
      <c r="KFV2" s="415"/>
      <c r="KFW2" s="415"/>
      <c r="KFX2" s="415"/>
      <c r="KFY2" s="415"/>
      <c r="KFZ2" s="415"/>
      <c r="KGA2" s="415"/>
      <c r="KGB2" s="415"/>
      <c r="KGC2" s="415"/>
      <c r="KGD2" s="415"/>
      <c r="KGE2" s="415"/>
      <c r="KGF2" s="415"/>
      <c r="KGG2" s="415"/>
      <c r="KGH2" s="415"/>
      <c r="KGI2" s="415"/>
      <c r="KGJ2" s="415"/>
      <c r="KGK2" s="415"/>
      <c r="KGL2" s="415"/>
      <c r="KGM2" s="415"/>
      <c r="KGN2" s="415"/>
      <c r="KGO2" s="415"/>
      <c r="KGP2" s="415"/>
      <c r="KGQ2" s="415"/>
      <c r="KGR2" s="415"/>
      <c r="KGS2" s="415"/>
      <c r="KGT2" s="415"/>
      <c r="KGU2" s="415"/>
      <c r="KGV2" s="415"/>
      <c r="KGW2" s="415"/>
      <c r="KGX2" s="415"/>
      <c r="KGY2" s="415"/>
      <c r="KGZ2" s="415"/>
      <c r="KHA2" s="415"/>
      <c r="KHB2" s="415"/>
      <c r="KHC2" s="415"/>
      <c r="KHD2" s="415"/>
      <c r="KHE2" s="415"/>
      <c r="KHF2" s="415"/>
      <c r="KHG2" s="415"/>
      <c r="KHH2" s="415"/>
      <c r="KHI2" s="415"/>
      <c r="KHJ2" s="415"/>
      <c r="KHK2" s="415"/>
      <c r="KHL2" s="415"/>
      <c r="KHM2" s="415"/>
      <c r="KHN2" s="415"/>
      <c r="KHO2" s="415"/>
      <c r="KHP2" s="415"/>
      <c r="KHQ2" s="415"/>
      <c r="KHR2" s="415"/>
      <c r="KHS2" s="415"/>
      <c r="KHT2" s="415"/>
      <c r="KHU2" s="415"/>
      <c r="KHV2" s="415"/>
      <c r="KHW2" s="415"/>
      <c r="KHX2" s="415"/>
      <c r="KHY2" s="415"/>
      <c r="KHZ2" s="415"/>
      <c r="KIA2" s="415"/>
      <c r="KIB2" s="415"/>
      <c r="KIC2" s="415"/>
      <c r="KID2" s="415"/>
      <c r="KIE2" s="415"/>
      <c r="KIF2" s="415"/>
      <c r="KIG2" s="415"/>
      <c r="KIH2" s="415"/>
      <c r="KII2" s="415"/>
      <c r="KIJ2" s="415"/>
      <c r="KIK2" s="415"/>
      <c r="KIL2" s="415"/>
      <c r="KIM2" s="415"/>
      <c r="KIN2" s="415"/>
      <c r="KIO2" s="415"/>
      <c r="KIP2" s="415"/>
      <c r="KIQ2" s="415"/>
      <c r="KIR2" s="415"/>
      <c r="KIS2" s="415"/>
      <c r="KIT2" s="415"/>
      <c r="KIU2" s="415"/>
      <c r="KIV2" s="415"/>
      <c r="KIW2" s="415"/>
      <c r="KIX2" s="415"/>
      <c r="KIY2" s="415"/>
      <c r="KIZ2" s="415"/>
      <c r="KJA2" s="415"/>
      <c r="KJB2" s="415"/>
      <c r="KJC2" s="415"/>
      <c r="KJD2" s="415"/>
      <c r="KJE2" s="415"/>
      <c r="KJF2" s="415"/>
      <c r="KJG2" s="415"/>
      <c r="KJH2" s="415"/>
      <c r="KJI2" s="415"/>
      <c r="KJJ2" s="415"/>
      <c r="KJK2" s="415"/>
      <c r="KJL2" s="415"/>
      <c r="KJM2" s="415"/>
      <c r="KJN2" s="415"/>
      <c r="KJO2" s="415"/>
      <c r="KJP2" s="415"/>
      <c r="KJQ2" s="415"/>
      <c r="KJR2" s="415"/>
      <c r="KJS2" s="415"/>
      <c r="KJT2" s="415"/>
      <c r="KJU2" s="415"/>
      <c r="KJV2" s="415"/>
      <c r="KJW2" s="415"/>
      <c r="KJX2" s="415"/>
      <c r="KJY2" s="415"/>
      <c r="KJZ2" s="415"/>
      <c r="KKA2" s="415"/>
      <c r="KKB2" s="415"/>
      <c r="KKC2" s="415"/>
      <c r="KKD2" s="415"/>
      <c r="KKE2" s="415"/>
      <c r="KKF2" s="415"/>
      <c r="KKG2" s="415"/>
      <c r="KKH2" s="415"/>
      <c r="KKI2" s="415"/>
      <c r="KKJ2" s="415"/>
      <c r="KKK2" s="415"/>
      <c r="KKL2" s="415"/>
      <c r="KKM2" s="415"/>
      <c r="KKN2" s="415"/>
      <c r="KKO2" s="415"/>
      <c r="KKP2" s="415"/>
      <c r="KKQ2" s="415"/>
      <c r="KKR2" s="415"/>
      <c r="KKS2" s="415"/>
      <c r="KKT2" s="415"/>
      <c r="KKU2" s="415"/>
      <c r="KKV2" s="415"/>
      <c r="KKW2" s="415"/>
      <c r="KKX2" s="415"/>
      <c r="KKY2" s="415"/>
      <c r="KKZ2" s="415"/>
      <c r="KLA2" s="415"/>
      <c r="KLB2" s="415"/>
      <c r="KLC2" s="415"/>
      <c r="KLD2" s="415"/>
      <c r="KLE2" s="415"/>
      <c r="KLF2" s="415"/>
      <c r="KLG2" s="415"/>
      <c r="KLH2" s="415"/>
      <c r="KLI2" s="415"/>
      <c r="KLJ2" s="415"/>
      <c r="KLK2" s="415"/>
      <c r="KLL2" s="415"/>
      <c r="KLM2" s="415"/>
      <c r="KLN2" s="415"/>
      <c r="KLO2" s="415"/>
      <c r="KLP2" s="415"/>
      <c r="KLQ2" s="415"/>
      <c r="KLR2" s="415"/>
      <c r="KLS2" s="415"/>
      <c r="KLT2" s="415"/>
      <c r="KLU2" s="415"/>
      <c r="KLV2" s="415"/>
      <c r="KLW2" s="415"/>
      <c r="KLX2" s="415"/>
      <c r="KLY2" s="415"/>
      <c r="KLZ2" s="415"/>
      <c r="KMA2" s="415"/>
      <c r="KMB2" s="415"/>
      <c r="KMC2" s="415"/>
      <c r="KMD2" s="415"/>
      <c r="KME2" s="415"/>
      <c r="KMF2" s="415"/>
      <c r="KMG2" s="415"/>
      <c r="KMH2" s="415"/>
      <c r="KMI2" s="415"/>
      <c r="KMJ2" s="415"/>
      <c r="KMK2" s="415"/>
      <c r="KML2" s="415"/>
      <c r="KMM2" s="415"/>
      <c r="KMN2" s="415"/>
      <c r="KMO2" s="415"/>
      <c r="KMP2" s="415"/>
      <c r="KMQ2" s="415"/>
      <c r="KMR2" s="415"/>
      <c r="KMS2" s="415"/>
      <c r="KMT2" s="415"/>
      <c r="KMU2" s="415"/>
      <c r="KMV2" s="415"/>
      <c r="KMW2" s="415"/>
      <c r="KMX2" s="415"/>
      <c r="KMY2" s="415"/>
      <c r="KMZ2" s="415"/>
      <c r="KNA2" s="415"/>
      <c r="KNB2" s="415"/>
      <c r="KNC2" s="415"/>
      <c r="KND2" s="415"/>
      <c r="KNE2" s="415"/>
      <c r="KNF2" s="415"/>
      <c r="KNG2" s="415"/>
      <c r="KNH2" s="415"/>
      <c r="KNI2" s="415"/>
      <c r="KNJ2" s="415"/>
      <c r="KNK2" s="415"/>
      <c r="KNL2" s="415"/>
      <c r="KNM2" s="415"/>
      <c r="KNN2" s="415"/>
      <c r="KNO2" s="415"/>
      <c r="KNP2" s="415"/>
      <c r="KNQ2" s="415"/>
      <c r="KNR2" s="415"/>
      <c r="KNS2" s="415"/>
      <c r="KNT2" s="415"/>
      <c r="KNU2" s="415"/>
      <c r="KNV2" s="415"/>
      <c r="KNW2" s="415"/>
      <c r="KNX2" s="415"/>
      <c r="KNY2" s="415"/>
      <c r="KNZ2" s="415"/>
      <c r="KOA2" s="415"/>
      <c r="KOB2" s="415"/>
      <c r="KOC2" s="415"/>
      <c r="KOD2" s="415"/>
      <c r="KOE2" s="415"/>
      <c r="KOF2" s="415"/>
      <c r="KOG2" s="415"/>
      <c r="KOH2" s="415"/>
      <c r="KOI2" s="415"/>
      <c r="KOJ2" s="415"/>
      <c r="KOK2" s="415"/>
      <c r="KOL2" s="415"/>
      <c r="KOM2" s="415"/>
      <c r="KON2" s="415"/>
      <c r="KOO2" s="415"/>
      <c r="KOP2" s="415"/>
      <c r="KOQ2" s="415"/>
      <c r="KOR2" s="415"/>
      <c r="KOS2" s="415"/>
      <c r="KOT2" s="415"/>
      <c r="KOU2" s="415"/>
      <c r="KOV2" s="415"/>
      <c r="KOW2" s="415"/>
      <c r="KOX2" s="415"/>
      <c r="KOY2" s="415"/>
      <c r="KOZ2" s="415"/>
      <c r="KPA2" s="415"/>
      <c r="KPB2" s="415"/>
      <c r="KPC2" s="415"/>
      <c r="KPD2" s="415"/>
      <c r="KPE2" s="415"/>
      <c r="KPF2" s="415"/>
      <c r="KPG2" s="415"/>
      <c r="KPH2" s="415"/>
      <c r="KPI2" s="415"/>
      <c r="KPJ2" s="415"/>
      <c r="KPK2" s="415"/>
      <c r="KPL2" s="415"/>
      <c r="KPM2" s="415"/>
      <c r="KPN2" s="415"/>
      <c r="KPO2" s="415"/>
      <c r="KPP2" s="415"/>
      <c r="KPQ2" s="415"/>
      <c r="KPR2" s="415"/>
      <c r="KPS2" s="415"/>
      <c r="KPT2" s="415"/>
      <c r="KPU2" s="415"/>
      <c r="KPV2" s="415"/>
      <c r="KPW2" s="415"/>
      <c r="KPX2" s="415"/>
      <c r="KPY2" s="415"/>
      <c r="KPZ2" s="415"/>
      <c r="KQA2" s="415"/>
      <c r="KQB2" s="415"/>
      <c r="KQC2" s="415"/>
      <c r="KQD2" s="415"/>
      <c r="KQE2" s="415"/>
      <c r="KQF2" s="415"/>
      <c r="KQG2" s="415"/>
      <c r="KQH2" s="415"/>
      <c r="KQI2" s="415"/>
      <c r="KQJ2" s="415"/>
      <c r="KQK2" s="415"/>
      <c r="KQL2" s="415"/>
      <c r="KQM2" s="415"/>
      <c r="KQN2" s="415"/>
      <c r="KQO2" s="415"/>
      <c r="KQP2" s="415"/>
      <c r="KQQ2" s="415"/>
      <c r="KQR2" s="415"/>
      <c r="KQS2" s="415"/>
      <c r="KQT2" s="415"/>
      <c r="KQU2" s="415"/>
      <c r="KQV2" s="415"/>
      <c r="KQW2" s="415"/>
      <c r="KQX2" s="415"/>
      <c r="KQY2" s="415"/>
      <c r="KQZ2" s="415"/>
      <c r="KRA2" s="415"/>
      <c r="KRB2" s="415"/>
      <c r="KRC2" s="415"/>
      <c r="KRD2" s="415"/>
      <c r="KRE2" s="415"/>
      <c r="KRF2" s="415"/>
      <c r="KRG2" s="415"/>
      <c r="KRH2" s="415"/>
      <c r="KRI2" s="415"/>
      <c r="KRJ2" s="415"/>
      <c r="KRK2" s="415"/>
      <c r="KRL2" s="415"/>
      <c r="KRM2" s="415"/>
      <c r="KRN2" s="415"/>
      <c r="KRO2" s="415"/>
      <c r="KRP2" s="415"/>
      <c r="KRQ2" s="415"/>
      <c r="KRR2" s="415"/>
      <c r="KRS2" s="415"/>
      <c r="KRT2" s="415"/>
      <c r="KRU2" s="415"/>
      <c r="KRV2" s="415"/>
      <c r="KRW2" s="415"/>
      <c r="KRX2" s="415"/>
      <c r="KRY2" s="415"/>
      <c r="KRZ2" s="415"/>
      <c r="KSA2" s="415"/>
      <c r="KSB2" s="415"/>
      <c r="KSC2" s="415"/>
      <c r="KSD2" s="415"/>
      <c r="KSE2" s="415"/>
      <c r="KSF2" s="415"/>
      <c r="KSG2" s="415"/>
      <c r="KSH2" s="415"/>
      <c r="KSI2" s="415"/>
      <c r="KSJ2" s="415"/>
      <c r="KSK2" s="415"/>
      <c r="KSL2" s="415"/>
      <c r="KSM2" s="415"/>
      <c r="KSN2" s="415"/>
      <c r="KSO2" s="415"/>
      <c r="KSP2" s="415"/>
      <c r="KSQ2" s="415"/>
      <c r="KSR2" s="415"/>
      <c r="KSS2" s="415"/>
      <c r="KST2" s="415"/>
      <c r="KSU2" s="415"/>
      <c r="KSV2" s="415"/>
      <c r="KSW2" s="415"/>
      <c r="KSX2" s="415"/>
      <c r="KSY2" s="415"/>
      <c r="KSZ2" s="415"/>
      <c r="KTA2" s="415"/>
      <c r="KTB2" s="415"/>
      <c r="KTC2" s="415"/>
      <c r="KTD2" s="415"/>
      <c r="KTE2" s="415"/>
      <c r="KTF2" s="415"/>
      <c r="KTG2" s="415"/>
      <c r="KTH2" s="415"/>
      <c r="KTI2" s="415"/>
      <c r="KTJ2" s="415"/>
      <c r="KTK2" s="415"/>
      <c r="KTL2" s="415"/>
      <c r="KTM2" s="415"/>
      <c r="KTN2" s="415"/>
      <c r="KTO2" s="415"/>
      <c r="KTP2" s="415"/>
      <c r="KTQ2" s="415"/>
      <c r="KTR2" s="415"/>
      <c r="KTS2" s="415"/>
      <c r="KTT2" s="415"/>
      <c r="KTU2" s="415"/>
      <c r="KTV2" s="415"/>
      <c r="KTW2" s="415"/>
      <c r="KTX2" s="415"/>
      <c r="KTY2" s="415"/>
      <c r="KTZ2" s="415"/>
      <c r="KUA2" s="415"/>
      <c r="KUB2" s="415"/>
      <c r="KUC2" s="415"/>
      <c r="KUD2" s="415"/>
      <c r="KUE2" s="415"/>
      <c r="KUF2" s="415"/>
      <c r="KUG2" s="415"/>
      <c r="KUH2" s="415"/>
      <c r="KUI2" s="415"/>
      <c r="KUJ2" s="415"/>
      <c r="KUK2" s="415"/>
      <c r="KUL2" s="415"/>
      <c r="KUM2" s="415"/>
      <c r="KUN2" s="415"/>
      <c r="KUO2" s="415"/>
      <c r="KUP2" s="415"/>
      <c r="KUQ2" s="415"/>
      <c r="KUR2" s="415"/>
      <c r="KUS2" s="415"/>
      <c r="KUT2" s="415"/>
      <c r="KUU2" s="415"/>
      <c r="KUV2" s="415"/>
      <c r="KUW2" s="415"/>
      <c r="KUX2" s="415"/>
      <c r="KUY2" s="415"/>
      <c r="KUZ2" s="415"/>
      <c r="KVA2" s="415"/>
      <c r="KVB2" s="415"/>
      <c r="KVC2" s="415"/>
      <c r="KVD2" s="415"/>
      <c r="KVE2" s="415"/>
      <c r="KVF2" s="415"/>
      <c r="KVG2" s="415"/>
      <c r="KVH2" s="415"/>
      <c r="KVI2" s="415"/>
      <c r="KVJ2" s="415"/>
      <c r="KVK2" s="415"/>
      <c r="KVL2" s="415"/>
      <c r="KVM2" s="415"/>
      <c r="KVN2" s="415"/>
      <c r="KVO2" s="415"/>
      <c r="KVP2" s="415"/>
      <c r="KVQ2" s="415"/>
      <c r="KVR2" s="415"/>
      <c r="KVS2" s="415"/>
      <c r="KVT2" s="415"/>
      <c r="KVU2" s="415"/>
      <c r="KVV2" s="415"/>
      <c r="KVW2" s="415"/>
      <c r="KVX2" s="415"/>
      <c r="KVY2" s="415"/>
      <c r="KVZ2" s="415"/>
      <c r="KWA2" s="415"/>
      <c r="KWB2" s="415"/>
      <c r="KWC2" s="415"/>
      <c r="KWD2" s="415"/>
      <c r="KWE2" s="415"/>
      <c r="KWF2" s="415"/>
      <c r="KWG2" s="415"/>
      <c r="KWH2" s="415"/>
      <c r="KWI2" s="415"/>
      <c r="KWJ2" s="415"/>
      <c r="KWK2" s="415"/>
      <c r="KWL2" s="415"/>
      <c r="KWM2" s="415"/>
      <c r="KWN2" s="415"/>
      <c r="KWO2" s="415"/>
      <c r="KWP2" s="415"/>
      <c r="KWQ2" s="415"/>
      <c r="KWR2" s="415"/>
      <c r="KWS2" s="415"/>
      <c r="KWT2" s="415"/>
      <c r="KWU2" s="415"/>
      <c r="KWV2" s="415"/>
      <c r="KWW2" s="415"/>
      <c r="KWX2" s="415"/>
      <c r="KWY2" s="415"/>
      <c r="KWZ2" s="415"/>
      <c r="KXA2" s="415"/>
      <c r="KXB2" s="415"/>
      <c r="KXC2" s="415"/>
      <c r="KXD2" s="415"/>
      <c r="KXE2" s="415"/>
      <c r="KXF2" s="415"/>
      <c r="KXG2" s="415"/>
      <c r="KXH2" s="415"/>
      <c r="KXI2" s="415"/>
      <c r="KXJ2" s="415"/>
      <c r="KXK2" s="415"/>
      <c r="KXL2" s="415"/>
      <c r="KXM2" s="415"/>
      <c r="KXN2" s="415"/>
      <c r="KXO2" s="415"/>
      <c r="KXP2" s="415"/>
      <c r="KXQ2" s="415"/>
      <c r="KXR2" s="415"/>
      <c r="KXS2" s="415"/>
      <c r="KXT2" s="415"/>
      <c r="KXU2" s="415"/>
      <c r="KXV2" s="415"/>
      <c r="KXW2" s="415"/>
      <c r="KXX2" s="415"/>
      <c r="KXY2" s="415"/>
      <c r="KXZ2" s="415"/>
      <c r="KYA2" s="415"/>
      <c r="KYB2" s="415"/>
      <c r="KYC2" s="415"/>
      <c r="KYD2" s="415"/>
      <c r="KYE2" s="415"/>
      <c r="KYF2" s="415"/>
      <c r="KYG2" s="415"/>
      <c r="KYH2" s="415"/>
      <c r="KYI2" s="415"/>
      <c r="KYJ2" s="415"/>
      <c r="KYK2" s="415"/>
      <c r="KYL2" s="415"/>
      <c r="KYM2" s="415"/>
      <c r="KYN2" s="415"/>
      <c r="KYO2" s="415"/>
      <c r="KYP2" s="415"/>
      <c r="KYQ2" s="415"/>
      <c r="KYR2" s="415"/>
      <c r="KYS2" s="415"/>
      <c r="KYT2" s="415"/>
      <c r="KYU2" s="415"/>
      <c r="KYV2" s="415"/>
      <c r="KYW2" s="415"/>
      <c r="KYX2" s="415"/>
      <c r="KYY2" s="415"/>
      <c r="KYZ2" s="415"/>
      <c r="KZA2" s="415"/>
      <c r="KZB2" s="415"/>
      <c r="KZC2" s="415"/>
      <c r="KZD2" s="415"/>
      <c r="KZE2" s="415"/>
      <c r="KZF2" s="415"/>
      <c r="KZG2" s="415"/>
      <c r="KZH2" s="415"/>
      <c r="KZI2" s="415"/>
      <c r="KZJ2" s="415"/>
      <c r="KZK2" s="415"/>
      <c r="KZL2" s="415"/>
      <c r="KZM2" s="415"/>
      <c r="KZN2" s="415"/>
      <c r="KZO2" s="415"/>
      <c r="KZP2" s="415"/>
      <c r="KZQ2" s="415"/>
      <c r="KZR2" s="415"/>
      <c r="KZS2" s="415"/>
      <c r="KZT2" s="415"/>
      <c r="KZU2" s="415"/>
      <c r="KZV2" s="415"/>
      <c r="KZW2" s="415"/>
      <c r="KZX2" s="415"/>
      <c r="KZY2" s="415"/>
      <c r="KZZ2" s="415"/>
      <c r="LAA2" s="415"/>
      <c r="LAB2" s="415"/>
      <c r="LAC2" s="415"/>
      <c r="LAD2" s="415"/>
      <c r="LAE2" s="415"/>
      <c r="LAF2" s="415"/>
      <c r="LAG2" s="415"/>
      <c r="LAH2" s="415"/>
      <c r="LAI2" s="415"/>
      <c r="LAJ2" s="415"/>
      <c r="LAK2" s="415"/>
      <c r="LAL2" s="415"/>
      <c r="LAM2" s="415"/>
      <c r="LAN2" s="415"/>
      <c r="LAO2" s="415"/>
      <c r="LAP2" s="415"/>
      <c r="LAQ2" s="415"/>
      <c r="LAR2" s="415"/>
      <c r="LAS2" s="415"/>
      <c r="LAT2" s="415"/>
      <c r="LAU2" s="415"/>
      <c r="LAV2" s="415"/>
      <c r="LAW2" s="415"/>
      <c r="LAX2" s="415"/>
      <c r="LAY2" s="415"/>
      <c r="LAZ2" s="415"/>
      <c r="LBA2" s="415"/>
      <c r="LBB2" s="415"/>
      <c r="LBC2" s="415"/>
      <c r="LBD2" s="415"/>
      <c r="LBE2" s="415"/>
      <c r="LBF2" s="415"/>
      <c r="LBG2" s="415"/>
      <c r="LBH2" s="415"/>
      <c r="LBI2" s="415"/>
      <c r="LBJ2" s="415"/>
      <c r="LBK2" s="415"/>
      <c r="LBL2" s="415"/>
      <c r="LBM2" s="415"/>
      <c r="LBN2" s="415"/>
      <c r="LBO2" s="415"/>
      <c r="LBP2" s="415"/>
      <c r="LBQ2" s="415"/>
      <c r="LBR2" s="415"/>
      <c r="LBS2" s="415"/>
      <c r="LBT2" s="415"/>
      <c r="LBU2" s="415"/>
      <c r="LBV2" s="415"/>
      <c r="LBW2" s="415"/>
      <c r="LBX2" s="415"/>
      <c r="LBY2" s="415"/>
      <c r="LBZ2" s="415"/>
      <c r="LCA2" s="415"/>
      <c r="LCB2" s="415"/>
      <c r="LCC2" s="415"/>
      <c r="LCD2" s="415"/>
      <c r="LCE2" s="415"/>
      <c r="LCF2" s="415"/>
      <c r="LCG2" s="415"/>
      <c r="LCH2" s="415"/>
      <c r="LCI2" s="415"/>
      <c r="LCJ2" s="415"/>
      <c r="LCK2" s="415"/>
      <c r="LCL2" s="415"/>
      <c r="LCM2" s="415"/>
      <c r="LCN2" s="415"/>
      <c r="LCO2" s="415"/>
      <c r="LCP2" s="415"/>
      <c r="LCQ2" s="415"/>
      <c r="LCR2" s="415"/>
      <c r="LCS2" s="415"/>
      <c r="LCT2" s="415"/>
      <c r="LCU2" s="415"/>
      <c r="LCV2" s="415"/>
      <c r="LCW2" s="415"/>
      <c r="LCX2" s="415"/>
      <c r="LCY2" s="415"/>
      <c r="LCZ2" s="415"/>
      <c r="LDA2" s="415"/>
      <c r="LDB2" s="415"/>
      <c r="LDC2" s="415"/>
      <c r="LDD2" s="415"/>
      <c r="LDE2" s="415"/>
      <c r="LDF2" s="415"/>
      <c r="LDG2" s="415"/>
      <c r="LDH2" s="415"/>
      <c r="LDI2" s="415"/>
      <c r="LDJ2" s="415"/>
      <c r="LDK2" s="415"/>
      <c r="LDL2" s="415"/>
      <c r="LDM2" s="415"/>
      <c r="LDN2" s="415"/>
      <c r="LDO2" s="415"/>
      <c r="LDP2" s="415"/>
      <c r="LDQ2" s="415"/>
      <c r="LDR2" s="415"/>
      <c r="LDS2" s="415"/>
      <c r="LDT2" s="415"/>
      <c r="LDU2" s="415"/>
      <c r="LDV2" s="415"/>
      <c r="LDW2" s="415"/>
      <c r="LDX2" s="415"/>
      <c r="LDY2" s="415"/>
      <c r="LDZ2" s="415"/>
      <c r="LEA2" s="415"/>
      <c r="LEB2" s="415"/>
      <c r="LEC2" s="415"/>
      <c r="LED2" s="415"/>
      <c r="LEE2" s="415"/>
      <c r="LEF2" s="415"/>
      <c r="LEG2" s="415"/>
      <c r="LEH2" s="415"/>
      <c r="LEI2" s="415"/>
      <c r="LEJ2" s="415"/>
      <c r="LEK2" s="415"/>
      <c r="LEL2" s="415"/>
      <c r="LEM2" s="415"/>
      <c r="LEN2" s="415"/>
      <c r="LEO2" s="415"/>
      <c r="LEP2" s="415"/>
      <c r="LEQ2" s="415"/>
      <c r="LER2" s="415"/>
      <c r="LES2" s="415"/>
      <c r="LET2" s="415"/>
      <c r="LEU2" s="415"/>
      <c r="LEV2" s="415"/>
      <c r="LEW2" s="415"/>
      <c r="LEX2" s="415"/>
      <c r="LEY2" s="415"/>
      <c r="LEZ2" s="415"/>
      <c r="LFA2" s="415"/>
      <c r="LFB2" s="415"/>
      <c r="LFC2" s="415"/>
      <c r="LFD2" s="415"/>
      <c r="LFE2" s="415"/>
      <c r="LFF2" s="415"/>
      <c r="LFG2" s="415"/>
      <c r="LFH2" s="415"/>
      <c r="LFI2" s="415"/>
      <c r="LFJ2" s="415"/>
      <c r="LFK2" s="415"/>
      <c r="LFL2" s="415"/>
      <c r="LFM2" s="415"/>
      <c r="LFN2" s="415"/>
      <c r="LFO2" s="415"/>
      <c r="LFP2" s="415"/>
      <c r="LFQ2" s="415"/>
      <c r="LFR2" s="415"/>
      <c r="LFS2" s="415"/>
      <c r="LFT2" s="415"/>
      <c r="LFU2" s="415"/>
      <c r="LFV2" s="415"/>
      <c r="LFW2" s="415"/>
      <c r="LFX2" s="415"/>
      <c r="LFY2" s="415"/>
      <c r="LFZ2" s="415"/>
      <c r="LGA2" s="415"/>
      <c r="LGB2" s="415"/>
      <c r="LGC2" s="415"/>
      <c r="LGD2" s="415"/>
      <c r="LGE2" s="415"/>
      <c r="LGF2" s="415"/>
      <c r="LGG2" s="415"/>
      <c r="LGH2" s="415"/>
      <c r="LGI2" s="415"/>
      <c r="LGJ2" s="415"/>
      <c r="LGK2" s="415"/>
      <c r="LGL2" s="415"/>
      <c r="LGM2" s="415"/>
      <c r="LGN2" s="415"/>
      <c r="LGO2" s="415"/>
      <c r="LGP2" s="415"/>
      <c r="LGQ2" s="415"/>
      <c r="LGR2" s="415"/>
      <c r="LGS2" s="415"/>
      <c r="LGT2" s="415"/>
      <c r="LGU2" s="415"/>
      <c r="LGV2" s="415"/>
      <c r="LGW2" s="415"/>
      <c r="LGX2" s="415"/>
      <c r="LGY2" s="415"/>
      <c r="LGZ2" s="415"/>
      <c r="LHA2" s="415"/>
      <c r="LHB2" s="415"/>
      <c r="LHC2" s="415"/>
      <c r="LHD2" s="415"/>
      <c r="LHE2" s="415"/>
      <c r="LHF2" s="415"/>
      <c r="LHG2" s="415"/>
      <c r="LHH2" s="415"/>
      <c r="LHI2" s="415"/>
      <c r="LHJ2" s="415"/>
      <c r="LHK2" s="415"/>
      <c r="LHL2" s="415"/>
      <c r="LHM2" s="415"/>
      <c r="LHN2" s="415"/>
      <c r="LHO2" s="415"/>
      <c r="LHP2" s="415"/>
      <c r="LHQ2" s="415"/>
      <c r="LHR2" s="415"/>
      <c r="LHS2" s="415"/>
      <c r="LHT2" s="415"/>
      <c r="LHU2" s="415"/>
      <c r="LHV2" s="415"/>
      <c r="LHW2" s="415"/>
      <c r="LHX2" s="415"/>
      <c r="LHY2" s="415"/>
      <c r="LHZ2" s="415"/>
      <c r="LIA2" s="415"/>
      <c r="LIB2" s="415"/>
      <c r="LIC2" s="415"/>
      <c r="LID2" s="415"/>
      <c r="LIE2" s="415"/>
      <c r="LIF2" s="415"/>
      <c r="LIG2" s="415"/>
      <c r="LIH2" s="415"/>
      <c r="LII2" s="415"/>
      <c r="LIJ2" s="415"/>
      <c r="LIK2" s="415"/>
      <c r="LIL2" s="415"/>
      <c r="LIM2" s="415"/>
      <c r="LIN2" s="415"/>
      <c r="LIO2" s="415"/>
      <c r="LIP2" s="415"/>
      <c r="LIQ2" s="415"/>
      <c r="LIR2" s="415"/>
      <c r="LIS2" s="415"/>
      <c r="LIT2" s="415"/>
      <c r="LIU2" s="415"/>
      <c r="LIV2" s="415"/>
      <c r="LIW2" s="415"/>
      <c r="LIX2" s="415"/>
      <c r="LIY2" s="415"/>
      <c r="LIZ2" s="415"/>
      <c r="LJA2" s="415"/>
      <c r="LJB2" s="415"/>
      <c r="LJC2" s="415"/>
      <c r="LJD2" s="415"/>
      <c r="LJE2" s="415"/>
      <c r="LJF2" s="415"/>
      <c r="LJG2" s="415"/>
      <c r="LJH2" s="415"/>
      <c r="LJI2" s="415"/>
      <c r="LJJ2" s="415"/>
      <c r="LJK2" s="415"/>
      <c r="LJL2" s="415"/>
      <c r="LJM2" s="415"/>
      <c r="LJN2" s="415"/>
      <c r="LJO2" s="415"/>
      <c r="LJP2" s="415"/>
      <c r="LJQ2" s="415"/>
      <c r="LJR2" s="415"/>
      <c r="LJS2" s="415"/>
      <c r="LJT2" s="415"/>
      <c r="LJU2" s="415"/>
      <c r="LJV2" s="415"/>
      <c r="LJW2" s="415"/>
      <c r="LJX2" s="415"/>
      <c r="LJY2" s="415"/>
      <c r="LJZ2" s="415"/>
      <c r="LKA2" s="415"/>
      <c r="LKB2" s="415"/>
      <c r="LKC2" s="415"/>
      <c r="LKD2" s="415"/>
      <c r="LKE2" s="415"/>
      <c r="LKF2" s="415"/>
      <c r="LKG2" s="415"/>
      <c r="LKH2" s="415"/>
      <c r="LKI2" s="415"/>
      <c r="LKJ2" s="415"/>
      <c r="LKK2" s="415"/>
      <c r="LKL2" s="415"/>
      <c r="LKM2" s="415"/>
      <c r="LKN2" s="415"/>
      <c r="LKO2" s="415"/>
      <c r="LKP2" s="415"/>
      <c r="LKQ2" s="415"/>
      <c r="LKR2" s="415"/>
      <c r="LKS2" s="415"/>
      <c r="LKT2" s="415"/>
      <c r="LKU2" s="415"/>
      <c r="LKV2" s="415"/>
      <c r="LKW2" s="415"/>
      <c r="LKX2" s="415"/>
      <c r="LKY2" s="415"/>
      <c r="LKZ2" s="415"/>
      <c r="LLA2" s="415"/>
      <c r="LLB2" s="415"/>
      <c r="LLC2" s="415"/>
      <c r="LLD2" s="415"/>
      <c r="LLE2" s="415"/>
      <c r="LLF2" s="415"/>
      <c r="LLG2" s="415"/>
      <c r="LLH2" s="415"/>
      <c r="LLI2" s="415"/>
      <c r="LLJ2" s="415"/>
      <c r="LLK2" s="415"/>
      <c r="LLL2" s="415"/>
      <c r="LLM2" s="415"/>
      <c r="LLN2" s="415"/>
      <c r="LLO2" s="415"/>
      <c r="LLP2" s="415"/>
      <c r="LLQ2" s="415"/>
      <c r="LLR2" s="415"/>
      <c r="LLS2" s="415"/>
      <c r="LLT2" s="415"/>
      <c r="LLU2" s="415"/>
      <c r="LLV2" s="415"/>
      <c r="LLW2" s="415"/>
      <c r="LLX2" s="415"/>
      <c r="LLY2" s="415"/>
      <c r="LLZ2" s="415"/>
      <c r="LMA2" s="415"/>
      <c r="LMB2" s="415"/>
      <c r="LMC2" s="415"/>
      <c r="LMD2" s="415"/>
      <c r="LME2" s="415"/>
      <c r="LMF2" s="415"/>
      <c r="LMG2" s="415"/>
      <c r="LMH2" s="415"/>
      <c r="LMI2" s="415"/>
      <c r="LMJ2" s="415"/>
      <c r="LMK2" s="415"/>
      <c r="LML2" s="415"/>
      <c r="LMM2" s="415"/>
      <c r="LMN2" s="415"/>
      <c r="LMO2" s="415"/>
      <c r="LMP2" s="415"/>
      <c r="LMQ2" s="415"/>
      <c r="LMR2" s="415"/>
      <c r="LMS2" s="415"/>
      <c r="LMT2" s="415"/>
      <c r="LMU2" s="415"/>
      <c r="LMV2" s="415"/>
      <c r="LMW2" s="415"/>
      <c r="LMX2" s="415"/>
      <c r="LMY2" s="415"/>
      <c r="LMZ2" s="415"/>
      <c r="LNA2" s="415"/>
      <c r="LNB2" s="415"/>
      <c r="LNC2" s="415"/>
      <c r="LND2" s="415"/>
      <c r="LNE2" s="415"/>
      <c r="LNF2" s="415"/>
      <c r="LNG2" s="415"/>
      <c r="LNH2" s="415"/>
      <c r="LNI2" s="415"/>
      <c r="LNJ2" s="415"/>
      <c r="LNK2" s="415"/>
      <c r="LNL2" s="415"/>
      <c r="LNM2" s="415"/>
      <c r="LNN2" s="415"/>
      <c r="LNO2" s="415"/>
      <c r="LNP2" s="415"/>
      <c r="LNQ2" s="415"/>
      <c r="LNR2" s="415"/>
      <c r="LNS2" s="415"/>
      <c r="LNT2" s="415"/>
      <c r="LNU2" s="415"/>
      <c r="LNV2" s="415"/>
      <c r="LNW2" s="415"/>
      <c r="LNX2" s="415"/>
      <c r="LNY2" s="415"/>
      <c r="LNZ2" s="415"/>
      <c r="LOA2" s="415"/>
      <c r="LOB2" s="415"/>
      <c r="LOC2" s="415"/>
      <c r="LOD2" s="415"/>
      <c r="LOE2" s="415"/>
      <c r="LOF2" s="415"/>
      <c r="LOG2" s="415"/>
      <c r="LOH2" s="415"/>
      <c r="LOI2" s="415"/>
      <c r="LOJ2" s="415"/>
      <c r="LOK2" s="415"/>
      <c r="LOL2" s="415"/>
      <c r="LOM2" s="415"/>
      <c r="LON2" s="415"/>
      <c r="LOO2" s="415"/>
      <c r="LOP2" s="415"/>
      <c r="LOQ2" s="415"/>
      <c r="LOR2" s="415"/>
      <c r="LOS2" s="415"/>
      <c r="LOT2" s="415"/>
      <c r="LOU2" s="415"/>
      <c r="LOV2" s="415"/>
      <c r="LOW2" s="415"/>
      <c r="LOX2" s="415"/>
      <c r="LOY2" s="415"/>
      <c r="LOZ2" s="415"/>
      <c r="LPA2" s="415"/>
      <c r="LPB2" s="415"/>
      <c r="LPC2" s="415"/>
      <c r="LPD2" s="415"/>
      <c r="LPE2" s="415"/>
      <c r="LPF2" s="415"/>
      <c r="LPG2" s="415"/>
      <c r="LPH2" s="415"/>
      <c r="LPI2" s="415"/>
      <c r="LPJ2" s="415"/>
      <c r="LPK2" s="415"/>
      <c r="LPL2" s="415"/>
      <c r="LPM2" s="415"/>
      <c r="LPN2" s="415"/>
      <c r="LPO2" s="415"/>
      <c r="LPP2" s="415"/>
      <c r="LPQ2" s="415"/>
      <c r="LPR2" s="415"/>
      <c r="LPS2" s="415"/>
      <c r="LPT2" s="415"/>
      <c r="LPU2" s="415"/>
      <c r="LPV2" s="415"/>
      <c r="LPW2" s="415"/>
      <c r="LPX2" s="415"/>
      <c r="LPY2" s="415"/>
      <c r="LPZ2" s="415"/>
      <c r="LQA2" s="415"/>
      <c r="LQB2" s="415"/>
      <c r="LQC2" s="415"/>
      <c r="LQD2" s="415"/>
      <c r="LQE2" s="415"/>
      <c r="LQF2" s="415"/>
      <c r="LQG2" s="415"/>
      <c r="LQH2" s="415"/>
      <c r="LQI2" s="415"/>
      <c r="LQJ2" s="415"/>
      <c r="LQK2" s="415"/>
      <c r="LQL2" s="415"/>
      <c r="LQM2" s="415"/>
      <c r="LQN2" s="415"/>
      <c r="LQO2" s="415"/>
      <c r="LQP2" s="415"/>
      <c r="LQQ2" s="415"/>
      <c r="LQR2" s="415"/>
      <c r="LQS2" s="415"/>
      <c r="LQT2" s="415"/>
      <c r="LQU2" s="415"/>
      <c r="LQV2" s="415"/>
      <c r="LQW2" s="415"/>
      <c r="LQX2" s="415"/>
      <c r="LQY2" s="415"/>
      <c r="LQZ2" s="415"/>
      <c r="LRA2" s="415"/>
      <c r="LRB2" s="415"/>
      <c r="LRC2" s="415"/>
      <c r="LRD2" s="415"/>
      <c r="LRE2" s="415"/>
      <c r="LRF2" s="415"/>
      <c r="LRG2" s="415"/>
      <c r="LRH2" s="415"/>
      <c r="LRI2" s="415"/>
      <c r="LRJ2" s="415"/>
      <c r="LRK2" s="415"/>
      <c r="LRL2" s="415"/>
      <c r="LRM2" s="415"/>
      <c r="LRN2" s="415"/>
      <c r="LRO2" s="415"/>
      <c r="LRP2" s="415"/>
      <c r="LRQ2" s="415"/>
      <c r="LRR2" s="415"/>
      <c r="LRS2" s="415"/>
      <c r="LRT2" s="415"/>
      <c r="LRU2" s="415"/>
      <c r="LRV2" s="415"/>
      <c r="LRW2" s="415"/>
      <c r="LRX2" s="415"/>
      <c r="LRY2" s="415"/>
      <c r="LRZ2" s="415"/>
      <c r="LSA2" s="415"/>
      <c r="LSB2" s="415"/>
      <c r="LSC2" s="415"/>
      <c r="LSD2" s="415"/>
      <c r="LSE2" s="415"/>
      <c r="LSF2" s="415"/>
      <c r="LSG2" s="415"/>
      <c r="LSH2" s="415"/>
      <c r="LSI2" s="415"/>
      <c r="LSJ2" s="415"/>
      <c r="LSK2" s="415"/>
      <c r="LSL2" s="415"/>
      <c r="LSM2" s="415"/>
      <c r="LSN2" s="415"/>
      <c r="LSO2" s="415"/>
      <c r="LSP2" s="415"/>
      <c r="LSQ2" s="415"/>
      <c r="LSR2" s="415"/>
      <c r="LSS2" s="415"/>
      <c r="LST2" s="415"/>
      <c r="LSU2" s="415"/>
      <c r="LSV2" s="415"/>
      <c r="LSW2" s="415"/>
      <c r="LSX2" s="415"/>
      <c r="LSY2" s="415"/>
      <c r="LSZ2" s="415"/>
      <c r="LTA2" s="415"/>
      <c r="LTB2" s="415"/>
      <c r="LTC2" s="415"/>
      <c r="LTD2" s="415"/>
      <c r="LTE2" s="415"/>
      <c r="LTF2" s="415"/>
      <c r="LTG2" s="415"/>
      <c r="LTH2" s="415"/>
      <c r="LTI2" s="415"/>
      <c r="LTJ2" s="415"/>
      <c r="LTK2" s="415"/>
      <c r="LTL2" s="415"/>
      <c r="LTM2" s="415"/>
      <c r="LTN2" s="415"/>
      <c r="LTO2" s="415"/>
      <c r="LTP2" s="415"/>
      <c r="LTQ2" s="415"/>
      <c r="LTR2" s="415"/>
      <c r="LTS2" s="415"/>
      <c r="LTT2" s="415"/>
      <c r="LTU2" s="415"/>
      <c r="LTV2" s="415"/>
      <c r="LTW2" s="415"/>
      <c r="LTX2" s="415"/>
      <c r="LTY2" s="415"/>
      <c r="LTZ2" s="415"/>
      <c r="LUA2" s="415"/>
      <c r="LUB2" s="415"/>
      <c r="LUC2" s="415"/>
      <c r="LUD2" s="415"/>
      <c r="LUE2" s="415"/>
      <c r="LUF2" s="415"/>
      <c r="LUG2" s="415"/>
      <c r="LUH2" s="415"/>
      <c r="LUI2" s="415"/>
      <c r="LUJ2" s="415"/>
      <c r="LUK2" s="415"/>
      <c r="LUL2" s="415"/>
      <c r="LUM2" s="415"/>
      <c r="LUN2" s="415"/>
      <c r="LUO2" s="415"/>
      <c r="LUP2" s="415"/>
      <c r="LUQ2" s="415"/>
      <c r="LUR2" s="415"/>
      <c r="LUS2" s="415"/>
      <c r="LUT2" s="415"/>
      <c r="LUU2" s="415"/>
      <c r="LUV2" s="415"/>
      <c r="LUW2" s="415"/>
      <c r="LUX2" s="415"/>
      <c r="LUY2" s="415"/>
      <c r="LUZ2" s="415"/>
      <c r="LVA2" s="415"/>
      <c r="LVB2" s="415"/>
      <c r="LVC2" s="415"/>
      <c r="LVD2" s="415"/>
      <c r="LVE2" s="415"/>
      <c r="LVF2" s="415"/>
      <c r="LVG2" s="415"/>
      <c r="LVH2" s="415"/>
      <c r="LVI2" s="415"/>
      <c r="LVJ2" s="415"/>
      <c r="LVK2" s="415"/>
      <c r="LVL2" s="415"/>
      <c r="LVM2" s="415"/>
      <c r="LVN2" s="415"/>
      <c r="LVO2" s="415"/>
      <c r="LVP2" s="415"/>
      <c r="LVQ2" s="415"/>
      <c r="LVR2" s="415"/>
      <c r="LVS2" s="415"/>
      <c r="LVT2" s="415"/>
      <c r="LVU2" s="415"/>
      <c r="LVV2" s="415"/>
      <c r="LVW2" s="415"/>
      <c r="LVX2" s="415"/>
      <c r="LVY2" s="415"/>
      <c r="LVZ2" s="415"/>
      <c r="LWA2" s="415"/>
      <c r="LWB2" s="415"/>
      <c r="LWC2" s="415"/>
      <c r="LWD2" s="415"/>
      <c r="LWE2" s="415"/>
      <c r="LWF2" s="415"/>
      <c r="LWG2" s="415"/>
      <c r="LWH2" s="415"/>
      <c r="LWI2" s="415"/>
      <c r="LWJ2" s="415"/>
      <c r="LWK2" s="415"/>
      <c r="LWL2" s="415"/>
      <c r="LWM2" s="415"/>
      <c r="LWN2" s="415"/>
      <c r="LWO2" s="415"/>
      <c r="LWP2" s="415"/>
      <c r="LWQ2" s="415"/>
      <c r="LWR2" s="415"/>
      <c r="LWS2" s="415"/>
      <c r="LWT2" s="415"/>
      <c r="LWU2" s="415"/>
      <c r="LWV2" s="415"/>
      <c r="LWW2" s="415"/>
      <c r="LWX2" s="415"/>
      <c r="LWY2" s="415"/>
      <c r="LWZ2" s="415"/>
      <c r="LXA2" s="415"/>
      <c r="LXB2" s="415"/>
      <c r="LXC2" s="415"/>
      <c r="LXD2" s="415"/>
      <c r="LXE2" s="415"/>
      <c r="LXF2" s="415"/>
      <c r="LXG2" s="415"/>
      <c r="LXH2" s="415"/>
      <c r="LXI2" s="415"/>
      <c r="LXJ2" s="415"/>
      <c r="LXK2" s="415"/>
      <c r="LXL2" s="415"/>
      <c r="LXM2" s="415"/>
      <c r="LXN2" s="415"/>
      <c r="LXO2" s="415"/>
      <c r="LXP2" s="415"/>
      <c r="LXQ2" s="415"/>
      <c r="LXR2" s="415"/>
      <c r="LXS2" s="415"/>
      <c r="LXT2" s="415"/>
      <c r="LXU2" s="415"/>
      <c r="LXV2" s="415"/>
      <c r="LXW2" s="415"/>
      <c r="LXX2" s="415"/>
      <c r="LXY2" s="415"/>
      <c r="LXZ2" s="415"/>
      <c r="LYA2" s="415"/>
      <c r="LYB2" s="415"/>
      <c r="LYC2" s="415"/>
      <c r="LYD2" s="415"/>
      <c r="LYE2" s="415"/>
      <c r="LYF2" s="415"/>
      <c r="LYG2" s="415"/>
      <c r="LYH2" s="415"/>
      <c r="LYI2" s="415"/>
      <c r="LYJ2" s="415"/>
      <c r="LYK2" s="415"/>
      <c r="LYL2" s="415"/>
      <c r="LYM2" s="415"/>
      <c r="LYN2" s="415"/>
      <c r="LYO2" s="415"/>
      <c r="LYP2" s="415"/>
      <c r="LYQ2" s="415"/>
      <c r="LYR2" s="415"/>
      <c r="LYS2" s="415"/>
      <c r="LYT2" s="415"/>
      <c r="LYU2" s="415"/>
      <c r="LYV2" s="415"/>
      <c r="LYW2" s="415"/>
      <c r="LYX2" s="415"/>
      <c r="LYY2" s="415"/>
      <c r="LYZ2" s="415"/>
      <c r="LZA2" s="415"/>
      <c r="LZB2" s="415"/>
      <c r="LZC2" s="415"/>
      <c r="LZD2" s="415"/>
      <c r="LZE2" s="415"/>
      <c r="LZF2" s="415"/>
      <c r="LZG2" s="415"/>
      <c r="LZH2" s="415"/>
      <c r="LZI2" s="415"/>
      <c r="LZJ2" s="415"/>
      <c r="LZK2" s="415"/>
      <c r="LZL2" s="415"/>
      <c r="LZM2" s="415"/>
      <c r="LZN2" s="415"/>
      <c r="LZO2" s="415"/>
      <c r="LZP2" s="415"/>
      <c r="LZQ2" s="415"/>
      <c r="LZR2" s="415"/>
      <c r="LZS2" s="415"/>
      <c r="LZT2" s="415"/>
      <c r="LZU2" s="415"/>
      <c r="LZV2" s="415"/>
      <c r="LZW2" s="415"/>
      <c r="LZX2" s="415"/>
      <c r="LZY2" s="415"/>
      <c r="LZZ2" s="415"/>
      <c r="MAA2" s="415"/>
      <c r="MAB2" s="415"/>
      <c r="MAC2" s="415"/>
      <c r="MAD2" s="415"/>
      <c r="MAE2" s="415"/>
      <c r="MAF2" s="415"/>
      <c r="MAG2" s="415"/>
      <c r="MAH2" s="415"/>
      <c r="MAI2" s="415"/>
      <c r="MAJ2" s="415"/>
      <c r="MAK2" s="415"/>
      <c r="MAL2" s="415"/>
      <c r="MAM2" s="415"/>
      <c r="MAN2" s="415"/>
      <c r="MAO2" s="415"/>
      <c r="MAP2" s="415"/>
      <c r="MAQ2" s="415"/>
      <c r="MAR2" s="415"/>
      <c r="MAS2" s="415"/>
      <c r="MAT2" s="415"/>
      <c r="MAU2" s="415"/>
      <c r="MAV2" s="415"/>
      <c r="MAW2" s="415"/>
      <c r="MAX2" s="415"/>
      <c r="MAY2" s="415"/>
      <c r="MAZ2" s="415"/>
      <c r="MBA2" s="415"/>
      <c r="MBB2" s="415"/>
      <c r="MBC2" s="415"/>
      <c r="MBD2" s="415"/>
      <c r="MBE2" s="415"/>
      <c r="MBF2" s="415"/>
      <c r="MBG2" s="415"/>
      <c r="MBH2" s="415"/>
      <c r="MBI2" s="415"/>
      <c r="MBJ2" s="415"/>
      <c r="MBK2" s="415"/>
      <c r="MBL2" s="415"/>
      <c r="MBM2" s="415"/>
      <c r="MBN2" s="415"/>
      <c r="MBO2" s="415"/>
      <c r="MBP2" s="415"/>
      <c r="MBQ2" s="415"/>
      <c r="MBR2" s="415"/>
      <c r="MBS2" s="415"/>
      <c r="MBT2" s="415"/>
      <c r="MBU2" s="415"/>
      <c r="MBV2" s="415"/>
      <c r="MBW2" s="415"/>
      <c r="MBX2" s="415"/>
      <c r="MBY2" s="415"/>
      <c r="MBZ2" s="415"/>
      <c r="MCA2" s="415"/>
      <c r="MCB2" s="415"/>
      <c r="MCC2" s="415"/>
      <c r="MCD2" s="415"/>
      <c r="MCE2" s="415"/>
      <c r="MCF2" s="415"/>
      <c r="MCG2" s="415"/>
      <c r="MCH2" s="415"/>
      <c r="MCI2" s="415"/>
      <c r="MCJ2" s="415"/>
      <c r="MCK2" s="415"/>
      <c r="MCL2" s="415"/>
      <c r="MCM2" s="415"/>
      <c r="MCN2" s="415"/>
      <c r="MCO2" s="415"/>
      <c r="MCP2" s="415"/>
      <c r="MCQ2" s="415"/>
      <c r="MCR2" s="415"/>
      <c r="MCS2" s="415"/>
      <c r="MCT2" s="415"/>
      <c r="MCU2" s="415"/>
      <c r="MCV2" s="415"/>
      <c r="MCW2" s="415"/>
      <c r="MCX2" s="415"/>
      <c r="MCY2" s="415"/>
      <c r="MCZ2" s="415"/>
      <c r="MDA2" s="415"/>
      <c r="MDB2" s="415"/>
      <c r="MDC2" s="415"/>
      <c r="MDD2" s="415"/>
      <c r="MDE2" s="415"/>
      <c r="MDF2" s="415"/>
      <c r="MDG2" s="415"/>
      <c r="MDH2" s="415"/>
      <c r="MDI2" s="415"/>
      <c r="MDJ2" s="415"/>
      <c r="MDK2" s="415"/>
      <c r="MDL2" s="415"/>
      <c r="MDM2" s="415"/>
      <c r="MDN2" s="415"/>
      <c r="MDO2" s="415"/>
      <c r="MDP2" s="415"/>
      <c r="MDQ2" s="415"/>
      <c r="MDR2" s="415"/>
      <c r="MDS2" s="415"/>
      <c r="MDT2" s="415"/>
      <c r="MDU2" s="415"/>
      <c r="MDV2" s="415"/>
      <c r="MDW2" s="415"/>
      <c r="MDX2" s="415"/>
      <c r="MDY2" s="415"/>
      <c r="MDZ2" s="415"/>
      <c r="MEA2" s="415"/>
      <c r="MEB2" s="415"/>
      <c r="MEC2" s="415"/>
      <c r="MED2" s="415"/>
      <c r="MEE2" s="415"/>
      <c r="MEF2" s="415"/>
      <c r="MEG2" s="415"/>
      <c r="MEH2" s="415"/>
      <c r="MEI2" s="415"/>
      <c r="MEJ2" s="415"/>
      <c r="MEK2" s="415"/>
      <c r="MEL2" s="415"/>
      <c r="MEM2" s="415"/>
      <c r="MEN2" s="415"/>
      <c r="MEO2" s="415"/>
      <c r="MEP2" s="415"/>
      <c r="MEQ2" s="415"/>
      <c r="MER2" s="415"/>
      <c r="MES2" s="415"/>
      <c r="MET2" s="415"/>
      <c r="MEU2" s="415"/>
      <c r="MEV2" s="415"/>
      <c r="MEW2" s="415"/>
      <c r="MEX2" s="415"/>
      <c r="MEY2" s="415"/>
      <c r="MEZ2" s="415"/>
      <c r="MFA2" s="415"/>
      <c r="MFB2" s="415"/>
      <c r="MFC2" s="415"/>
      <c r="MFD2" s="415"/>
      <c r="MFE2" s="415"/>
      <c r="MFF2" s="415"/>
      <c r="MFG2" s="415"/>
      <c r="MFH2" s="415"/>
      <c r="MFI2" s="415"/>
      <c r="MFJ2" s="415"/>
      <c r="MFK2" s="415"/>
      <c r="MFL2" s="415"/>
      <c r="MFM2" s="415"/>
      <c r="MFN2" s="415"/>
      <c r="MFO2" s="415"/>
      <c r="MFP2" s="415"/>
      <c r="MFQ2" s="415"/>
      <c r="MFR2" s="415"/>
      <c r="MFS2" s="415"/>
      <c r="MFT2" s="415"/>
      <c r="MFU2" s="415"/>
      <c r="MFV2" s="415"/>
      <c r="MFW2" s="415"/>
      <c r="MFX2" s="415"/>
      <c r="MFY2" s="415"/>
      <c r="MFZ2" s="415"/>
      <c r="MGA2" s="415"/>
      <c r="MGB2" s="415"/>
      <c r="MGC2" s="415"/>
      <c r="MGD2" s="415"/>
      <c r="MGE2" s="415"/>
      <c r="MGF2" s="415"/>
      <c r="MGG2" s="415"/>
      <c r="MGH2" s="415"/>
      <c r="MGI2" s="415"/>
      <c r="MGJ2" s="415"/>
      <c r="MGK2" s="415"/>
      <c r="MGL2" s="415"/>
      <c r="MGM2" s="415"/>
      <c r="MGN2" s="415"/>
      <c r="MGO2" s="415"/>
      <c r="MGP2" s="415"/>
      <c r="MGQ2" s="415"/>
      <c r="MGR2" s="415"/>
      <c r="MGS2" s="415"/>
      <c r="MGT2" s="415"/>
      <c r="MGU2" s="415"/>
      <c r="MGV2" s="415"/>
      <c r="MGW2" s="415"/>
      <c r="MGX2" s="415"/>
      <c r="MGY2" s="415"/>
      <c r="MGZ2" s="415"/>
      <c r="MHA2" s="415"/>
      <c r="MHB2" s="415"/>
      <c r="MHC2" s="415"/>
      <c r="MHD2" s="415"/>
      <c r="MHE2" s="415"/>
      <c r="MHF2" s="415"/>
      <c r="MHG2" s="415"/>
      <c r="MHH2" s="415"/>
      <c r="MHI2" s="415"/>
      <c r="MHJ2" s="415"/>
      <c r="MHK2" s="415"/>
      <c r="MHL2" s="415"/>
      <c r="MHM2" s="415"/>
      <c r="MHN2" s="415"/>
      <c r="MHO2" s="415"/>
      <c r="MHP2" s="415"/>
      <c r="MHQ2" s="415"/>
      <c r="MHR2" s="415"/>
      <c r="MHS2" s="415"/>
      <c r="MHT2" s="415"/>
      <c r="MHU2" s="415"/>
      <c r="MHV2" s="415"/>
      <c r="MHW2" s="415"/>
      <c r="MHX2" s="415"/>
      <c r="MHY2" s="415"/>
      <c r="MHZ2" s="415"/>
      <c r="MIA2" s="415"/>
      <c r="MIB2" s="415"/>
      <c r="MIC2" s="415"/>
      <c r="MID2" s="415"/>
      <c r="MIE2" s="415"/>
      <c r="MIF2" s="415"/>
      <c r="MIG2" s="415"/>
      <c r="MIH2" s="415"/>
      <c r="MII2" s="415"/>
      <c r="MIJ2" s="415"/>
      <c r="MIK2" s="415"/>
      <c r="MIL2" s="415"/>
      <c r="MIM2" s="415"/>
      <c r="MIN2" s="415"/>
      <c r="MIO2" s="415"/>
      <c r="MIP2" s="415"/>
      <c r="MIQ2" s="415"/>
      <c r="MIR2" s="415"/>
      <c r="MIS2" s="415"/>
      <c r="MIT2" s="415"/>
      <c r="MIU2" s="415"/>
      <c r="MIV2" s="415"/>
      <c r="MIW2" s="415"/>
      <c r="MIX2" s="415"/>
      <c r="MIY2" s="415"/>
      <c r="MIZ2" s="415"/>
      <c r="MJA2" s="415"/>
      <c r="MJB2" s="415"/>
      <c r="MJC2" s="415"/>
      <c r="MJD2" s="415"/>
      <c r="MJE2" s="415"/>
      <c r="MJF2" s="415"/>
      <c r="MJG2" s="415"/>
      <c r="MJH2" s="415"/>
      <c r="MJI2" s="415"/>
      <c r="MJJ2" s="415"/>
      <c r="MJK2" s="415"/>
      <c r="MJL2" s="415"/>
      <c r="MJM2" s="415"/>
      <c r="MJN2" s="415"/>
      <c r="MJO2" s="415"/>
      <c r="MJP2" s="415"/>
      <c r="MJQ2" s="415"/>
      <c r="MJR2" s="415"/>
      <c r="MJS2" s="415"/>
      <c r="MJT2" s="415"/>
      <c r="MJU2" s="415"/>
      <c r="MJV2" s="415"/>
      <c r="MJW2" s="415"/>
      <c r="MJX2" s="415"/>
      <c r="MJY2" s="415"/>
      <c r="MJZ2" s="415"/>
      <c r="MKA2" s="415"/>
      <c r="MKB2" s="415"/>
      <c r="MKC2" s="415"/>
      <c r="MKD2" s="415"/>
      <c r="MKE2" s="415"/>
      <c r="MKF2" s="415"/>
      <c r="MKG2" s="415"/>
      <c r="MKH2" s="415"/>
      <c r="MKI2" s="415"/>
      <c r="MKJ2" s="415"/>
      <c r="MKK2" s="415"/>
      <c r="MKL2" s="415"/>
      <c r="MKM2" s="415"/>
      <c r="MKN2" s="415"/>
      <c r="MKO2" s="415"/>
      <c r="MKP2" s="415"/>
      <c r="MKQ2" s="415"/>
      <c r="MKR2" s="415"/>
      <c r="MKS2" s="415"/>
      <c r="MKT2" s="415"/>
      <c r="MKU2" s="415"/>
      <c r="MKV2" s="415"/>
      <c r="MKW2" s="415"/>
      <c r="MKX2" s="415"/>
      <c r="MKY2" s="415"/>
      <c r="MKZ2" s="415"/>
      <c r="MLA2" s="415"/>
      <c r="MLB2" s="415"/>
      <c r="MLC2" s="415"/>
      <c r="MLD2" s="415"/>
      <c r="MLE2" s="415"/>
      <c r="MLF2" s="415"/>
      <c r="MLG2" s="415"/>
      <c r="MLH2" s="415"/>
      <c r="MLI2" s="415"/>
      <c r="MLJ2" s="415"/>
      <c r="MLK2" s="415"/>
      <c r="MLL2" s="415"/>
      <c r="MLM2" s="415"/>
      <c r="MLN2" s="415"/>
      <c r="MLO2" s="415"/>
      <c r="MLP2" s="415"/>
      <c r="MLQ2" s="415"/>
      <c r="MLR2" s="415"/>
      <c r="MLS2" s="415"/>
      <c r="MLT2" s="415"/>
      <c r="MLU2" s="415"/>
      <c r="MLV2" s="415"/>
      <c r="MLW2" s="415"/>
      <c r="MLX2" s="415"/>
      <c r="MLY2" s="415"/>
      <c r="MLZ2" s="415"/>
      <c r="MMA2" s="415"/>
      <c r="MMB2" s="415"/>
      <c r="MMC2" s="415"/>
      <c r="MMD2" s="415"/>
      <c r="MME2" s="415"/>
      <c r="MMF2" s="415"/>
      <c r="MMG2" s="415"/>
      <c r="MMH2" s="415"/>
      <c r="MMI2" s="415"/>
      <c r="MMJ2" s="415"/>
      <c r="MMK2" s="415"/>
      <c r="MML2" s="415"/>
      <c r="MMM2" s="415"/>
      <c r="MMN2" s="415"/>
      <c r="MMO2" s="415"/>
      <c r="MMP2" s="415"/>
      <c r="MMQ2" s="415"/>
      <c r="MMR2" s="415"/>
      <c r="MMS2" s="415"/>
      <c r="MMT2" s="415"/>
      <c r="MMU2" s="415"/>
      <c r="MMV2" s="415"/>
      <c r="MMW2" s="415"/>
      <c r="MMX2" s="415"/>
      <c r="MMY2" s="415"/>
      <c r="MMZ2" s="415"/>
      <c r="MNA2" s="415"/>
      <c r="MNB2" s="415"/>
      <c r="MNC2" s="415"/>
      <c r="MND2" s="415"/>
      <c r="MNE2" s="415"/>
      <c r="MNF2" s="415"/>
      <c r="MNG2" s="415"/>
      <c r="MNH2" s="415"/>
      <c r="MNI2" s="415"/>
      <c r="MNJ2" s="415"/>
      <c r="MNK2" s="415"/>
      <c r="MNL2" s="415"/>
      <c r="MNM2" s="415"/>
      <c r="MNN2" s="415"/>
      <c r="MNO2" s="415"/>
      <c r="MNP2" s="415"/>
      <c r="MNQ2" s="415"/>
      <c r="MNR2" s="415"/>
      <c r="MNS2" s="415"/>
      <c r="MNT2" s="415"/>
      <c r="MNU2" s="415"/>
      <c r="MNV2" s="415"/>
      <c r="MNW2" s="415"/>
      <c r="MNX2" s="415"/>
      <c r="MNY2" s="415"/>
      <c r="MNZ2" s="415"/>
      <c r="MOA2" s="415"/>
      <c r="MOB2" s="415"/>
      <c r="MOC2" s="415"/>
      <c r="MOD2" s="415"/>
      <c r="MOE2" s="415"/>
      <c r="MOF2" s="415"/>
      <c r="MOG2" s="415"/>
      <c r="MOH2" s="415"/>
      <c r="MOI2" s="415"/>
      <c r="MOJ2" s="415"/>
      <c r="MOK2" s="415"/>
      <c r="MOL2" s="415"/>
      <c r="MOM2" s="415"/>
      <c r="MON2" s="415"/>
      <c r="MOO2" s="415"/>
      <c r="MOP2" s="415"/>
      <c r="MOQ2" s="415"/>
      <c r="MOR2" s="415"/>
      <c r="MOS2" s="415"/>
      <c r="MOT2" s="415"/>
      <c r="MOU2" s="415"/>
      <c r="MOV2" s="415"/>
      <c r="MOW2" s="415"/>
      <c r="MOX2" s="415"/>
      <c r="MOY2" s="415"/>
      <c r="MOZ2" s="415"/>
      <c r="MPA2" s="415"/>
      <c r="MPB2" s="415"/>
      <c r="MPC2" s="415"/>
      <c r="MPD2" s="415"/>
      <c r="MPE2" s="415"/>
      <c r="MPF2" s="415"/>
      <c r="MPG2" s="415"/>
      <c r="MPH2" s="415"/>
      <c r="MPI2" s="415"/>
      <c r="MPJ2" s="415"/>
      <c r="MPK2" s="415"/>
      <c r="MPL2" s="415"/>
      <c r="MPM2" s="415"/>
      <c r="MPN2" s="415"/>
      <c r="MPO2" s="415"/>
      <c r="MPP2" s="415"/>
      <c r="MPQ2" s="415"/>
      <c r="MPR2" s="415"/>
      <c r="MPS2" s="415"/>
      <c r="MPT2" s="415"/>
      <c r="MPU2" s="415"/>
      <c r="MPV2" s="415"/>
      <c r="MPW2" s="415"/>
      <c r="MPX2" s="415"/>
      <c r="MPY2" s="415"/>
      <c r="MPZ2" s="415"/>
      <c r="MQA2" s="415"/>
      <c r="MQB2" s="415"/>
      <c r="MQC2" s="415"/>
      <c r="MQD2" s="415"/>
      <c r="MQE2" s="415"/>
      <c r="MQF2" s="415"/>
      <c r="MQG2" s="415"/>
      <c r="MQH2" s="415"/>
      <c r="MQI2" s="415"/>
      <c r="MQJ2" s="415"/>
      <c r="MQK2" s="415"/>
      <c r="MQL2" s="415"/>
      <c r="MQM2" s="415"/>
      <c r="MQN2" s="415"/>
      <c r="MQO2" s="415"/>
      <c r="MQP2" s="415"/>
      <c r="MQQ2" s="415"/>
      <c r="MQR2" s="415"/>
      <c r="MQS2" s="415"/>
      <c r="MQT2" s="415"/>
      <c r="MQU2" s="415"/>
      <c r="MQV2" s="415"/>
      <c r="MQW2" s="415"/>
      <c r="MQX2" s="415"/>
      <c r="MQY2" s="415"/>
      <c r="MQZ2" s="415"/>
      <c r="MRA2" s="415"/>
      <c r="MRB2" s="415"/>
      <c r="MRC2" s="415"/>
      <c r="MRD2" s="415"/>
      <c r="MRE2" s="415"/>
      <c r="MRF2" s="415"/>
      <c r="MRG2" s="415"/>
      <c r="MRH2" s="415"/>
      <c r="MRI2" s="415"/>
      <c r="MRJ2" s="415"/>
      <c r="MRK2" s="415"/>
      <c r="MRL2" s="415"/>
      <c r="MRM2" s="415"/>
      <c r="MRN2" s="415"/>
      <c r="MRO2" s="415"/>
      <c r="MRP2" s="415"/>
      <c r="MRQ2" s="415"/>
      <c r="MRR2" s="415"/>
      <c r="MRS2" s="415"/>
      <c r="MRT2" s="415"/>
      <c r="MRU2" s="415"/>
      <c r="MRV2" s="415"/>
      <c r="MRW2" s="415"/>
      <c r="MRX2" s="415"/>
      <c r="MRY2" s="415"/>
      <c r="MRZ2" s="415"/>
      <c r="MSA2" s="415"/>
      <c r="MSB2" s="415"/>
      <c r="MSC2" s="415"/>
      <c r="MSD2" s="415"/>
      <c r="MSE2" s="415"/>
      <c r="MSF2" s="415"/>
      <c r="MSG2" s="415"/>
      <c r="MSH2" s="415"/>
      <c r="MSI2" s="415"/>
      <c r="MSJ2" s="415"/>
      <c r="MSK2" s="415"/>
      <c r="MSL2" s="415"/>
      <c r="MSM2" s="415"/>
      <c r="MSN2" s="415"/>
      <c r="MSO2" s="415"/>
      <c r="MSP2" s="415"/>
      <c r="MSQ2" s="415"/>
      <c r="MSR2" s="415"/>
      <c r="MSS2" s="415"/>
      <c r="MST2" s="415"/>
      <c r="MSU2" s="415"/>
      <c r="MSV2" s="415"/>
      <c r="MSW2" s="415"/>
      <c r="MSX2" s="415"/>
      <c r="MSY2" s="415"/>
      <c r="MSZ2" s="415"/>
      <c r="MTA2" s="415"/>
      <c r="MTB2" s="415"/>
      <c r="MTC2" s="415"/>
      <c r="MTD2" s="415"/>
      <c r="MTE2" s="415"/>
      <c r="MTF2" s="415"/>
      <c r="MTG2" s="415"/>
      <c r="MTH2" s="415"/>
      <c r="MTI2" s="415"/>
      <c r="MTJ2" s="415"/>
      <c r="MTK2" s="415"/>
      <c r="MTL2" s="415"/>
      <c r="MTM2" s="415"/>
      <c r="MTN2" s="415"/>
      <c r="MTO2" s="415"/>
      <c r="MTP2" s="415"/>
      <c r="MTQ2" s="415"/>
      <c r="MTR2" s="415"/>
      <c r="MTS2" s="415"/>
      <c r="MTT2" s="415"/>
      <c r="MTU2" s="415"/>
      <c r="MTV2" s="415"/>
      <c r="MTW2" s="415"/>
      <c r="MTX2" s="415"/>
      <c r="MTY2" s="415"/>
      <c r="MTZ2" s="415"/>
      <c r="MUA2" s="415"/>
      <c r="MUB2" s="415"/>
      <c r="MUC2" s="415"/>
      <c r="MUD2" s="415"/>
      <c r="MUE2" s="415"/>
      <c r="MUF2" s="415"/>
      <c r="MUG2" s="415"/>
      <c r="MUH2" s="415"/>
      <c r="MUI2" s="415"/>
      <c r="MUJ2" s="415"/>
      <c r="MUK2" s="415"/>
      <c r="MUL2" s="415"/>
      <c r="MUM2" s="415"/>
      <c r="MUN2" s="415"/>
      <c r="MUO2" s="415"/>
      <c r="MUP2" s="415"/>
      <c r="MUQ2" s="415"/>
      <c r="MUR2" s="415"/>
      <c r="MUS2" s="415"/>
      <c r="MUT2" s="415"/>
      <c r="MUU2" s="415"/>
      <c r="MUV2" s="415"/>
      <c r="MUW2" s="415"/>
      <c r="MUX2" s="415"/>
      <c r="MUY2" s="415"/>
      <c r="MUZ2" s="415"/>
      <c r="MVA2" s="415"/>
      <c r="MVB2" s="415"/>
      <c r="MVC2" s="415"/>
      <c r="MVD2" s="415"/>
      <c r="MVE2" s="415"/>
      <c r="MVF2" s="415"/>
      <c r="MVG2" s="415"/>
      <c r="MVH2" s="415"/>
      <c r="MVI2" s="415"/>
      <c r="MVJ2" s="415"/>
      <c r="MVK2" s="415"/>
      <c r="MVL2" s="415"/>
      <c r="MVM2" s="415"/>
      <c r="MVN2" s="415"/>
      <c r="MVO2" s="415"/>
      <c r="MVP2" s="415"/>
      <c r="MVQ2" s="415"/>
      <c r="MVR2" s="415"/>
      <c r="MVS2" s="415"/>
      <c r="MVT2" s="415"/>
      <c r="MVU2" s="415"/>
      <c r="MVV2" s="415"/>
      <c r="MVW2" s="415"/>
      <c r="MVX2" s="415"/>
      <c r="MVY2" s="415"/>
      <c r="MVZ2" s="415"/>
      <c r="MWA2" s="415"/>
      <c r="MWB2" s="415"/>
      <c r="MWC2" s="415"/>
      <c r="MWD2" s="415"/>
      <c r="MWE2" s="415"/>
      <c r="MWF2" s="415"/>
      <c r="MWG2" s="415"/>
      <c r="MWH2" s="415"/>
      <c r="MWI2" s="415"/>
      <c r="MWJ2" s="415"/>
      <c r="MWK2" s="415"/>
      <c r="MWL2" s="415"/>
      <c r="MWM2" s="415"/>
      <c r="MWN2" s="415"/>
      <c r="MWO2" s="415"/>
      <c r="MWP2" s="415"/>
      <c r="MWQ2" s="415"/>
      <c r="MWR2" s="415"/>
      <c r="MWS2" s="415"/>
      <c r="MWT2" s="415"/>
      <c r="MWU2" s="415"/>
      <c r="MWV2" s="415"/>
      <c r="MWW2" s="415"/>
      <c r="MWX2" s="415"/>
      <c r="MWY2" s="415"/>
      <c r="MWZ2" s="415"/>
      <c r="MXA2" s="415"/>
      <c r="MXB2" s="415"/>
      <c r="MXC2" s="415"/>
      <c r="MXD2" s="415"/>
      <c r="MXE2" s="415"/>
      <c r="MXF2" s="415"/>
      <c r="MXG2" s="415"/>
      <c r="MXH2" s="415"/>
      <c r="MXI2" s="415"/>
      <c r="MXJ2" s="415"/>
      <c r="MXK2" s="415"/>
      <c r="MXL2" s="415"/>
      <c r="MXM2" s="415"/>
      <c r="MXN2" s="415"/>
      <c r="MXO2" s="415"/>
      <c r="MXP2" s="415"/>
      <c r="MXQ2" s="415"/>
      <c r="MXR2" s="415"/>
      <c r="MXS2" s="415"/>
      <c r="MXT2" s="415"/>
      <c r="MXU2" s="415"/>
      <c r="MXV2" s="415"/>
      <c r="MXW2" s="415"/>
      <c r="MXX2" s="415"/>
      <c r="MXY2" s="415"/>
      <c r="MXZ2" s="415"/>
      <c r="MYA2" s="415"/>
      <c r="MYB2" s="415"/>
      <c r="MYC2" s="415"/>
      <c r="MYD2" s="415"/>
      <c r="MYE2" s="415"/>
      <c r="MYF2" s="415"/>
      <c r="MYG2" s="415"/>
      <c r="MYH2" s="415"/>
      <c r="MYI2" s="415"/>
      <c r="MYJ2" s="415"/>
      <c r="MYK2" s="415"/>
      <c r="MYL2" s="415"/>
      <c r="MYM2" s="415"/>
      <c r="MYN2" s="415"/>
      <c r="MYO2" s="415"/>
      <c r="MYP2" s="415"/>
      <c r="MYQ2" s="415"/>
      <c r="MYR2" s="415"/>
      <c r="MYS2" s="415"/>
      <c r="MYT2" s="415"/>
      <c r="MYU2" s="415"/>
      <c r="MYV2" s="415"/>
      <c r="MYW2" s="415"/>
      <c r="MYX2" s="415"/>
      <c r="MYY2" s="415"/>
      <c r="MYZ2" s="415"/>
      <c r="MZA2" s="415"/>
      <c r="MZB2" s="415"/>
      <c r="MZC2" s="415"/>
      <c r="MZD2" s="415"/>
      <c r="MZE2" s="415"/>
      <c r="MZF2" s="415"/>
      <c r="MZG2" s="415"/>
      <c r="MZH2" s="415"/>
      <c r="MZI2" s="415"/>
      <c r="MZJ2" s="415"/>
      <c r="MZK2" s="415"/>
      <c r="MZL2" s="415"/>
      <c r="MZM2" s="415"/>
      <c r="MZN2" s="415"/>
      <c r="MZO2" s="415"/>
      <c r="MZP2" s="415"/>
      <c r="MZQ2" s="415"/>
      <c r="MZR2" s="415"/>
      <c r="MZS2" s="415"/>
      <c r="MZT2" s="415"/>
      <c r="MZU2" s="415"/>
      <c r="MZV2" s="415"/>
      <c r="MZW2" s="415"/>
      <c r="MZX2" s="415"/>
      <c r="MZY2" s="415"/>
      <c r="MZZ2" s="415"/>
      <c r="NAA2" s="415"/>
      <c r="NAB2" s="415"/>
      <c r="NAC2" s="415"/>
      <c r="NAD2" s="415"/>
      <c r="NAE2" s="415"/>
      <c r="NAF2" s="415"/>
      <c r="NAG2" s="415"/>
      <c r="NAH2" s="415"/>
      <c r="NAI2" s="415"/>
      <c r="NAJ2" s="415"/>
      <c r="NAK2" s="415"/>
      <c r="NAL2" s="415"/>
      <c r="NAM2" s="415"/>
      <c r="NAN2" s="415"/>
      <c r="NAO2" s="415"/>
      <c r="NAP2" s="415"/>
      <c r="NAQ2" s="415"/>
      <c r="NAR2" s="415"/>
      <c r="NAS2" s="415"/>
      <c r="NAT2" s="415"/>
      <c r="NAU2" s="415"/>
      <c r="NAV2" s="415"/>
      <c r="NAW2" s="415"/>
      <c r="NAX2" s="415"/>
      <c r="NAY2" s="415"/>
      <c r="NAZ2" s="415"/>
      <c r="NBA2" s="415"/>
      <c r="NBB2" s="415"/>
      <c r="NBC2" s="415"/>
      <c r="NBD2" s="415"/>
      <c r="NBE2" s="415"/>
      <c r="NBF2" s="415"/>
      <c r="NBG2" s="415"/>
      <c r="NBH2" s="415"/>
      <c r="NBI2" s="415"/>
      <c r="NBJ2" s="415"/>
      <c r="NBK2" s="415"/>
      <c r="NBL2" s="415"/>
      <c r="NBM2" s="415"/>
      <c r="NBN2" s="415"/>
      <c r="NBO2" s="415"/>
      <c r="NBP2" s="415"/>
      <c r="NBQ2" s="415"/>
      <c r="NBR2" s="415"/>
      <c r="NBS2" s="415"/>
      <c r="NBT2" s="415"/>
      <c r="NBU2" s="415"/>
      <c r="NBV2" s="415"/>
      <c r="NBW2" s="415"/>
      <c r="NBX2" s="415"/>
      <c r="NBY2" s="415"/>
      <c r="NBZ2" s="415"/>
      <c r="NCA2" s="415"/>
      <c r="NCB2" s="415"/>
      <c r="NCC2" s="415"/>
      <c r="NCD2" s="415"/>
      <c r="NCE2" s="415"/>
      <c r="NCF2" s="415"/>
      <c r="NCG2" s="415"/>
      <c r="NCH2" s="415"/>
      <c r="NCI2" s="415"/>
      <c r="NCJ2" s="415"/>
      <c r="NCK2" s="415"/>
      <c r="NCL2" s="415"/>
      <c r="NCM2" s="415"/>
      <c r="NCN2" s="415"/>
      <c r="NCO2" s="415"/>
      <c r="NCP2" s="415"/>
      <c r="NCQ2" s="415"/>
      <c r="NCR2" s="415"/>
      <c r="NCS2" s="415"/>
      <c r="NCT2" s="415"/>
      <c r="NCU2" s="415"/>
      <c r="NCV2" s="415"/>
      <c r="NCW2" s="415"/>
      <c r="NCX2" s="415"/>
      <c r="NCY2" s="415"/>
      <c r="NCZ2" s="415"/>
      <c r="NDA2" s="415"/>
      <c r="NDB2" s="415"/>
      <c r="NDC2" s="415"/>
      <c r="NDD2" s="415"/>
      <c r="NDE2" s="415"/>
      <c r="NDF2" s="415"/>
      <c r="NDG2" s="415"/>
      <c r="NDH2" s="415"/>
      <c r="NDI2" s="415"/>
      <c r="NDJ2" s="415"/>
      <c r="NDK2" s="415"/>
      <c r="NDL2" s="415"/>
      <c r="NDM2" s="415"/>
      <c r="NDN2" s="415"/>
      <c r="NDO2" s="415"/>
      <c r="NDP2" s="415"/>
      <c r="NDQ2" s="415"/>
      <c r="NDR2" s="415"/>
      <c r="NDS2" s="415"/>
      <c r="NDT2" s="415"/>
      <c r="NDU2" s="415"/>
      <c r="NDV2" s="415"/>
      <c r="NDW2" s="415"/>
      <c r="NDX2" s="415"/>
      <c r="NDY2" s="415"/>
      <c r="NDZ2" s="415"/>
      <c r="NEA2" s="415"/>
      <c r="NEB2" s="415"/>
      <c r="NEC2" s="415"/>
      <c r="NED2" s="415"/>
      <c r="NEE2" s="415"/>
      <c r="NEF2" s="415"/>
      <c r="NEG2" s="415"/>
      <c r="NEH2" s="415"/>
      <c r="NEI2" s="415"/>
      <c r="NEJ2" s="415"/>
      <c r="NEK2" s="415"/>
      <c r="NEL2" s="415"/>
      <c r="NEM2" s="415"/>
      <c r="NEN2" s="415"/>
      <c r="NEO2" s="415"/>
      <c r="NEP2" s="415"/>
      <c r="NEQ2" s="415"/>
      <c r="NER2" s="415"/>
      <c r="NES2" s="415"/>
      <c r="NET2" s="415"/>
      <c r="NEU2" s="415"/>
      <c r="NEV2" s="415"/>
      <c r="NEW2" s="415"/>
      <c r="NEX2" s="415"/>
      <c r="NEY2" s="415"/>
      <c r="NEZ2" s="415"/>
      <c r="NFA2" s="415"/>
      <c r="NFB2" s="415"/>
      <c r="NFC2" s="415"/>
      <c r="NFD2" s="415"/>
      <c r="NFE2" s="415"/>
      <c r="NFF2" s="415"/>
      <c r="NFG2" s="415"/>
      <c r="NFH2" s="415"/>
      <c r="NFI2" s="415"/>
      <c r="NFJ2" s="415"/>
      <c r="NFK2" s="415"/>
      <c r="NFL2" s="415"/>
      <c r="NFM2" s="415"/>
      <c r="NFN2" s="415"/>
      <c r="NFO2" s="415"/>
      <c r="NFP2" s="415"/>
      <c r="NFQ2" s="415"/>
      <c r="NFR2" s="415"/>
      <c r="NFS2" s="415"/>
      <c r="NFT2" s="415"/>
      <c r="NFU2" s="415"/>
      <c r="NFV2" s="415"/>
      <c r="NFW2" s="415"/>
      <c r="NFX2" s="415"/>
      <c r="NFY2" s="415"/>
      <c r="NFZ2" s="415"/>
      <c r="NGA2" s="415"/>
      <c r="NGB2" s="415"/>
      <c r="NGC2" s="415"/>
      <c r="NGD2" s="415"/>
      <c r="NGE2" s="415"/>
      <c r="NGF2" s="415"/>
      <c r="NGG2" s="415"/>
      <c r="NGH2" s="415"/>
      <c r="NGI2" s="415"/>
      <c r="NGJ2" s="415"/>
      <c r="NGK2" s="415"/>
      <c r="NGL2" s="415"/>
      <c r="NGM2" s="415"/>
      <c r="NGN2" s="415"/>
      <c r="NGO2" s="415"/>
      <c r="NGP2" s="415"/>
      <c r="NGQ2" s="415"/>
      <c r="NGR2" s="415"/>
      <c r="NGS2" s="415"/>
      <c r="NGT2" s="415"/>
      <c r="NGU2" s="415"/>
      <c r="NGV2" s="415"/>
      <c r="NGW2" s="415"/>
      <c r="NGX2" s="415"/>
      <c r="NGY2" s="415"/>
      <c r="NGZ2" s="415"/>
      <c r="NHA2" s="415"/>
      <c r="NHB2" s="415"/>
      <c r="NHC2" s="415"/>
      <c r="NHD2" s="415"/>
      <c r="NHE2" s="415"/>
      <c r="NHF2" s="415"/>
      <c r="NHG2" s="415"/>
      <c r="NHH2" s="415"/>
      <c r="NHI2" s="415"/>
      <c r="NHJ2" s="415"/>
      <c r="NHK2" s="415"/>
      <c r="NHL2" s="415"/>
      <c r="NHM2" s="415"/>
      <c r="NHN2" s="415"/>
      <c r="NHO2" s="415"/>
      <c r="NHP2" s="415"/>
      <c r="NHQ2" s="415"/>
      <c r="NHR2" s="415"/>
      <c r="NHS2" s="415"/>
      <c r="NHT2" s="415"/>
      <c r="NHU2" s="415"/>
      <c r="NHV2" s="415"/>
      <c r="NHW2" s="415"/>
      <c r="NHX2" s="415"/>
      <c r="NHY2" s="415"/>
      <c r="NHZ2" s="415"/>
      <c r="NIA2" s="415"/>
      <c r="NIB2" s="415"/>
      <c r="NIC2" s="415"/>
      <c r="NID2" s="415"/>
      <c r="NIE2" s="415"/>
      <c r="NIF2" s="415"/>
      <c r="NIG2" s="415"/>
      <c r="NIH2" s="415"/>
      <c r="NII2" s="415"/>
      <c r="NIJ2" s="415"/>
      <c r="NIK2" s="415"/>
      <c r="NIL2" s="415"/>
      <c r="NIM2" s="415"/>
      <c r="NIN2" s="415"/>
      <c r="NIO2" s="415"/>
      <c r="NIP2" s="415"/>
      <c r="NIQ2" s="415"/>
      <c r="NIR2" s="415"/>
      <c r="NIS2" s="415"/>
      <c r="NIT2" s="415"/>
      <c r="NIU2" s="415"/>
      <c r="NIV2" s="415"/>
      <c r="NIW2" s="415"/>
      <c r="NIX2" s="415"/>
      <c r="NIY2" s="415"/>
      <c r="NIZ2" s="415"/>
      <c r="NJA2" s="415"/>
      <c r="NJB2" s="415"/>
      <c r="NJC2" s="415"/>
      <c r="NJD2" s="415"/>
      <c r="NJE2" s="415"/>
      <c r="NJF2" s="415"/>
      <c r="NJG2" s="415"/>
      <c r="NJH2" s="415"/>
      <c r="NJI2" s="415"/>
      <c r="NJJ2" s="415"/>
      <c r="NJK2" s="415"/>
      <c r="NJL2" s="415"/>
      <c r="NJM2" s="415"/>
      <c r="NJN2" s="415"/>
      <c r="NJO2" s="415"/>
      <c r="NJP2" s="415"/>
      <c r="NJQ2" s="415"/>
      <c r="NJR2" s="415"/>
      <c r="NJS2" s="415"/>
      <c r="NJT2" s="415"/>
      <c r="NJU2" s="415"/>
      <c r="NJV2" s="415"/>
      <c r="NJW2" s="415"/>
      <c r="NJX2" s="415"/>
      <c r="NJY2" s="415"/>
      <c r="NJZ2" s="415"/>
      <c r="NKA2" s="415"/>
      <c r="NKB2" s="415"/>
      <c r="NKC2" s="415"/>
      <c r="NKD2" s="415"/>
      <c r="NKE2" s="415"/>
      <c r="NKF2" s="415"/>
      <c r="NKG2" s="415"/>
      <c r="NKH2" s="415"/>
      <c r="NKI2" s="415"/>
      <c r="NKJ2" s="415"/>
      <c r="NKK2" s="415"/>
      <c r="NKL2" s="415"/>
      <c r="NKM2" s="415"/>
      <c r="NKN2" s="415"/>
      <c r="NKO2" s="415"/>
      <c r="NKP2" s="415"/>
      <c r="NKQ2" s="415"/>
      <c r="NKR2" s="415"/>
      <c r="NKS2" s="415"/>
      <c r="NKT2" s="415"/>
      <c r="NKU2" s="415"/>
      <c r="NKV2" s="415"/>
      <c r="NKW2" s="415"/>
      <c r="NKX2" s="415"/>
      <c r="NKY2" s="415"/>
      <c r="NKZ2" s="415"/>
      <c r="NLA2" s="415"/>
      <c r="NLB2" s="415"/>
      <c r="NLC2" s="415"/>
      <c r="NLD2" s="415"/>
      <c r="NLE2" s="415"/>
      <c r="NLF2" s="415"/>
      <c r="NLG2" s="415"/>
      <c r="NLH2" s="415"/>
      <c r="NLI2" s="415"/>
      <c r="NLJ2" s="415"/>
      <c r="NLK2" s="415"/>
      <c r="NLL2" s="415"/>
      <c r="NLM2" s="415"/>
      <c r="NLN2" s="415"/>
      <c r="NLO2" s="415"/>
      <c r="NLP2" s="415"/>
      <c r="NLQ2" s="415"/>
      <c r="NLR2" s="415"/>
      <c r="NLS2" s="415"/>
      <c r="NLT2" s="415"/>
      <c r="NLU2" s="415"/>
      <c r="NLV2" s="415"/>
      <c r="NLW2" s="415"/>
      <c r="NLX2" s="415"/>
      <c r="NLY2" s="415"/>
      <c r="NLZ2" s="415"/>
      <c r="NMA2" s="415"/>
      <c r="NMB2" s="415"/>
      <c r="NMC2" s="415"/>
      <c r="NMD2" s="415"/>
      <c r="NME2" s="415"/>
      <c r="NMF2" s="415"/>
      <c r="NMG2" s="415"/>
      <c r="NMH2" s="415"/>
      <c r="NMI2" s="415"/>
      <c r="NMJ2" s="415"/>
      <c r="NMK2" s="415"/>
      <c r="NML2" s="415"/>
      <c r="NMM2" s="415"/>
      <c r="NMN2" s="415"/>
      <c r="NMO2" s="415"/>
      <c r="NMP2" s="415"/>
      <c r="NMQ2" s="415"/>
      <c r="NMR2" s="415"/>
      <c r="NMS2" s="415"/>
      <c r="NMT2" s="415"/>
      <c r="NMU2" s="415"/>
      <c r="NMV2" s="415"/>
      <c r="NMW2" s="415"/>
      <c r="NMX2" s="415"/>
      <c r="NMY2" s="415"/>
      <c r="NMZ2" s="415"/>
      <c r="NNA2" s="415"/>
      <c r="NNB2" s="415"/>
      <c r="NNC2" s="415"/>
      <c r="NND2" s="415"/>
      <c r="NNE2" s="415"/>
      <c r="NNF2" s="415"/>
      <c r="NNG2" s="415"/>
      <c r="NNH2" s="415"/>
      <c r="NNI2" s="415"/>
      <c r="NNJ2" s="415"/>
      <c r="NNK2" s="415"/>
      <c r="NNL2" s="415"/>
      <c r="NNM2" s="415"/>
      <c r="NNN2" s="415"/>
      <c r="NNO2" s="415"/>
      <c r="NNP2" s="415"/>
      <c r="NNQ2" s="415"/>
      <c r="NNR2" s="415"/>
      <c r="NNS2" s="415"/>
      <c r="NNT2" s="415"/>
      <c r="NNU2" s="415"/>
      <c r="NNV2" s="415"/>
      <c r="NNW2" s="415"/>
      <c r="NNX2" s="415"/>
      <c r="NNY2" s="415"/>
      <c r="NNZ2" s="415"/>
      <c r="NOA2" s="415"/>
      <c r="NOB2" s="415"/>
      <c r="NOC2" s="415"/>
      <c r="NOD2" s="415"/>
      <c r="NOE2" s="415"/>
      <c r="NOF2" s="415"/>
      <c r="NOG2" s="415"/>
      <c r="NOH2" s="415"/>
      <c r="NOI2" s="415"/>
      <c r="NOJ2" s="415"/>
      <c r="NOK2" s="415"/>
      <c r="NOL2" s="415"/>
      <c r="NOM2" s="415"/>
      <c r="NON2" s="415"/>
      <c r="NOO2" s="415"/>
      <c r="NOP2" s="415"/>
      <c r="NOQ2" s="415"/>
      <c r="NOR2" s="415"/>
      <c r="NOS2" s="415"/>
      <c r="NOT2" s="415"/>
      <c r="NOU2" s="415"/>
      <c r="NOV2" s="415"/>
      <c r="NOW2" s="415"/>
      <c r="NOX2" s="415"/>
      <c r="NOY2" s="415"/>
      <c r="NOZ2" s="415"/>
      <c r="NPA2" s="415"/>
      <c r="NPB2" s="415"/>
      <c r="NPC2" s="415"/>
      <c r="NPD2" s="415"/>
      <c r="NPE2" s="415"/>
      <c r="NPF2" s="415"/>
      <c r="NPG2" s="415"/>
      <c r="NPH2" s="415"/>
      <c r="NPI2" s="415"/>
      <c r="NPJ2" s="415"/>
      <c r="NPK2" s="415"/>
      <c r="NPL2" s="415"/>
      <c r="NPM2" s="415"/>
      <c r="NPN2" s="415"/>
      <c r="NPO2" s="415"/>
      <c r="NPP2" s="415"/>
      <c r="NPQ2" s="415"/>
      <c r="NPR2" s="415"/>
      <c r="NPS2" s="415"/>
      <c r="NPT2" s="415"/>
      <c r="NPU2" s="415"/>
      <c r="NPV2" s="415"/>
      <c r="NPW2" s="415"/>
      <c r="NPX2" s="415"/>
      <c r="NPY2" s="415"/>
      <c r="NPZ2" s="415"/>
      <c r="NQA2" s="415"/>
      <c r="NQB2" s="415"/>
      <c r="NQC2" s="415"/>
      <c r="NQD2" s="415"/>
      <c r="NQE2" s="415"/>
      <c r="NQF2" s="415"/>
      <c r="NQG2" s="415"/>
      <c r="NQH2" s="415"/>
      <c r="NQI2" s="415"/>
      <c r="NQJ2" s="415"/>
      <c r="NQK2" s="415"/>
      <c r="NQL2" s="415"/>
      <c r="NQM2" s="415"/>
      <c r="NQN2" s="415"/>
      <c r="NQO2" s="415"/>
      <c r="NQP2" s="415"/>
      <c r="NQQ2" s="415"/>
      <c r="NQR2" s="415"/>
      <c r="NQS2" s="415"/>
      <c r="NQT2" s="415"/>
      <c r="NQU2" s="415"/>
      <c r="NQV2" s="415"/>
      <c r="NQW2" s="415"/>
      <c r="NQX2" s="415"/>
      <c r="NQY2" s="415"/>
      <c r="NQZ2" s="415"/>
      <c r="NRA2" s="415"/>
      <c r="NRB2" s="415"/>
      <c r="NRC2" s="415"/>
      <c r="NRD2" s="415"/>
      <c r="NRE2" s="415"/>
      <c r="NRF2" s="415"/>
      <c r="NRG2" s="415"/>
      <c r="NRH2" s="415"/>
      <c r="NRI2" s="415"/>
      <c r="NRJ2" s="415"/>
      <c r="NRK2" s="415"/>
      <c r="NRL2" s="415"/>
      <c r="NRM2" s="415"/>
      <c r="NRN2" s="415"/>
      <c r="NRO2" s="415"/>
      <c r="NRP2" s="415"/>
      <c r="NRQ2" s="415"/>
      <c r="NRR2" s="415"/>
      <c r="NRS2" s="415"/>
      <c r="NRT2" s="415"/>
      <c r="NRU2" s="415"/>
      <c r="NRV2" s="415"/>
      <c r="NRW2" s="415"/>
      <c r="NRX2" s="415"/>
      <c r="NRY2" s="415"/>
      <c r="NRZ2" s="415"/>
      <c r="NSA2" s="415"/>
      <c r="NSB2" s="415"/>
      <c r="NSC2" s="415"/>
      <c r="NSD2" s="415"/>
      <c r="NSE2" s="415"/>
      <c r="NSF2" s="415"/>
      <c r="NSG2" s="415"/>
      <c r="NSH2" s="415"/>
      <c r="NSI2" s="415"/>
      <c r="NSJ2" s="415"/>
      <c r="NSK2" s="415"/>
      <c r="NSL2" s="415"/>
      <c r="NSM2" s="415"/>
      <c r="NSN2" s="415"/>
      <c r="NSO2" s="415"/>
      <c r="NSP2" s="415"/>
      <c r="NSQ2" s="415"/>
      <c r="NSR2" s="415"/>
      <c r="NSS2" s="415"/>
      <c r="NST2" s="415"/>
      <c r="NSU2" s="415"/>
      <c r="NSV2" s="415"/>
      <c r="NSW2" s="415"/>
      <c r="NSX2" s="415"/>
      <c r="NSY2" s="415"/>
      <c r="NSZ2" s="415"/>
      <c r="NTA2" s="415"/>
      <c r="NTB2" s="415"/>
      <c r="NTC2" s="415"/>
      <c r="NTD2" s="415"/>
      <c r="NTE2" s="415"/>
      <c r="NTF2" s="415"/>
      <c r="NTG2" s="415"/>
      <c r="NTH2" s="415"/>
      <c r="NTI2" s="415"/>
      <c r="NTJ2" s="415"/>
      <c r="NTK2" s="415"/>
      <c r="NTL2" s="415"/>
      <c r="NTM2" s="415"/>
      <c r="NTN2" s="415"/>
      <c r="NTO2" s="415"/>
      <c r="NTP2" s="415"/>
      <c r="NTQ2" s="415"/>
      <c r="NTR2" s="415"/>
      <c r="NTS2" s="415"/>
      <c r="NTT2" s="415"/>
      <c r="NTU2" s="415"/>
      <c r="NTV2" s="415"/>
      <c r="NTW2" s="415"/>
      <c r="NTX2" s="415"/>
      <c r="NTY2" s="415"/>
      <c r="NTZ2" s="415"/>
      <c r="NUA2" s="415"/>
      <c r="NUB2" s="415"/>
      <c r="NUC2" s="415"/>
      <c r="NUD2" s="415"/>
      <c r="NUE2" s="415"/>
      <c r="NUF2" s="415"/>
      <c r="NUG2" s="415"/>
      <c r="NUH2" s="415"/>
      <c r="NUI2" s="415"/>
      <c r="NUJ2" s="415"/>
      <c r="NUK2" s="415"/>
      <c r="NUL2" s="415"/>
      <c r="NUM2" s="415"/>
      <c r="NUN2" s="415"/>
      <c r="NUO2" s="415"/>
      <c r="NUP2" s="415"/>
      <c r="NUQ2" s="415"/>
      <c r="NUR2" s="415"/>
      <c r="NUS2" s="415"/>
      <c r="NUT2" s="415"/>
      <c r="NUU2" s="415"/>
      <c r="NUV2" s="415"/>
      <c r="NUW2" s="415"/>
      <c r="NUX2" s="415"/>
      <c r="NUY2" s="415"/>
      <c r="NUZ2" s="415"/>
      <c r="NVA2" s="415"/>
      <c r="NVB2" s="415"/>
      <c r="NVC2" s="415"/>
      <c r="NVD2" s="415"/>
      <c r="NVE2" s="415"/>
      <c r="NVF2" s="415"/>
      <c r="NVG2" s="415"/>
      <c r="NVH2" s="415"/>
      <c r="NVI2" s="415"/>
      <c r="NVJ2" s="415"/>
      <c r="NVK2" s="415"/>
      <c r="NVL2" s="415"/>
      <c r="NVM2" s="415"/>
      <c r="NVN2" s="415"/>
      <c r="NVO2" s="415"/>
      <c r="NVP2" s="415"/>
      <c r="NVQ2" s="415"/>
      <c r="NVR2" s="415"/>
      <c r="NVS2" s="415"/>
      <c r="NVT2" s="415"/>
      <c r="NVU2" s="415"/>
      <c r="NVV2" s="415"/>
      <c r="NVW2" s="415"/>
      <c r="NVX2" s="415"/>
      <c r="NVY2" s="415"/>
      <c r="NVZ2" s="415"/>
      <c r="NWA2" s="415"/>
      <c r="NWB2" s="415"/>
      <c r="NWC2" s="415"/>
      <c r="NWD2" s="415"/>
      <c r="NWE2" s="415"/>
      <c r="NWF2" s="415"/>
      <c r="NWG2" s="415"/>
      <c r="NWH2" s="415"/>
      <c r="NWI2" s="415"/>
      <c r="NWJ2" s="415"/>
      <c r="NWK2" s="415"/>
      <c r="NWL2" s="415"/>
      <c r="NWM2" s="415"/>
      <c r="NWN2" s="415"/>
      <c r="NWO2" s="415"/>
      <c r="NWP2" s="415"/>
      <c r="NWQ2" s="415"/>
      <c r="NWR2" s="415"/>
      <c r="NWS2" s="415"/>
      <c r="NWT2" s="415"/>
      <c r="NWU2" s="415"/>
      <c r="NWV2" s="415"/>
      <c r="NWW2" s="415"/>
      <c r="NWX2" s="415"/>
      <c r="NWY2" s="415"/>
      <c r="NWZ2" s="415"/>
      <c r="NXA2" s="415"/>
      <c r="NXB2" s="415"/>
      <c r="NXC2" s="415"/>
      <c r="NXD2" s="415"/>
      <c r="NXE2" s="415"/>
      <c r="NXF2" s="415"/>
      <c r="NXG2" s="415"/>
      <c r="NXH2" s="415"/>
      <c r="NXI2" s="415"/>
      <c r="NXJ2" s="415"/>
      <c r="NXK2" s="415"/>
      <c r="NXL2" s="415"/>
      <c r="NXM2" s="415"/>
      <c r="NXN2" s="415"/>
      <c r="NXO2" s="415"/>
      <c r="NXP2" s="415"/>
      <c r="NXQ2" s="415"/>
      <c r="NXR2" s="415"/>
      <c r="NXS2" s="415"/>
      <c r="NXT2" s="415"/>
      <c r="NXU2" s="415"/>
      <c r="NXV2" s="415"/>
      <c r="NXW2" s="415"/>
      <c r="NXX2" s="415"/>
      <c r="NXY2" s="415"/>
      <c r="NXZ2" s="415"/>
      <c r="NYA2" s="415"/>
      <c r="NYB2" s="415"/>
      <c r="NYC2" s="415"/>
      <c r="NYD2" s="415"/>
      <c r="NYE2" s="415"/>
      <c r="NYF2" s="415"/>
      <c r="NYG2" s="415"/>
      <c r="NYH2" s="415"/>
      <c r="NYI2" s="415"/>
      <c r="NYJ2" s="415"/>
      <c r="NYK2" s="415"/>
      <c r="NYL2" s="415"/>
      <c r="NYM2" s="415"/>
      <c r="NYN2" s="415"/>
      <c r="NYO2" s="415"/>
      <c r="NYP2" s="415"/>
      <c r="NYQ2" s="415"/>
      <c r="NYR2" s="415"/>
      <c r="NYS2" s="415"/>
      <c r="NYT2" s="415"/>
      <c r="NYU2" s="415"/>
      <c r="NYV2" s="415"/>
      <c r="NYW2" s="415"/>
      <c r="NYX2" s="415"/>
      <c r="NYY2" s="415"/>
      <c r="NYZ2" s="415"/>
      <c r="NZA2" s="415"/>
      <c r="NZB2" s="415"/>
      <c r="NZC2" s="415"/>
      <c r="NZD2" s="415"/>
      <c r="NZE2" s="415"/>
      <c r="NZF2" s="415"/>
      <c r="NZG2" s="415"/>
      <c r="NZH2" s="415"/>
      <c r="NZI2" s="415"/>
      <c r="NZJ2" s="415"/>
      <c r="NZK2" s="415"/>
      <c r="NZL2" s="415"/>
      <c r="NZM2" s="415"/>
      <c r="NZN2" s="415"/>
      <c r="NZO2" s="415"/>
      <c r="NZP2" s="415"/>
      <c r="NZQ2" s="415"/>
      <c r="NZR2" s="415"/>
      <c r="NZS2" s="415"/>
      <c r="NZT2" s="415"/>
      <c r="NZU2" s="415"/>
      <c r="NZV2" s="415"/>
      <c r="NZW2" s="415"/>
      <c r="NZX2" s="415"/>
      <c r="NZY2" s="415"/>
      <c r="NZZ2" s="415"/>
      <c r="OAA2" s="415"/>
      <c r="OAB2" s="415"/>
      <c r="OAC2" s="415"/>
      <c r="OAD2" s="415"/>
      <c r="OAE2" s="415"/>
      <c r="OAF2" s="415"/>
      <c r="OAG2" s="415"/>
      <c r="OAH2" s="415"/>
      <c r="OAI2" s="415"/>
      <c r="OAJ2" s="415"/>
      <c r="OAK2" s="415"/>
      <c r="OAL2" s="415"/>
      <c r="OAM2" s="415"/>
      <c r="OAN2" s="415"/>
      <c r="OAO2" s="415"/>
      <c r="OAP2" s="415"/>
      <c r="OAQ2" s="415"/>
      <c r="OAR2" s="415"/>
      <c r="OAS2" s="415"/>
      <c r="OAT2" s="415"/>
      <c r="OAU2" s="415"/>
      <c r="OAV2" s="415"/>
      <c r="OAW2" s="415"/>
      <c r="OAX2" s="415"/>
      <c r="OAY2" s="415"/>
      <c r="OAZ2" s="415"/>
      <c r="OBA2" s="415"/>
      <c r="OBB2" s="415"/>
      <c r="OBC2" s="415"/>
      <c r="OBD2" s="415"/>
      <c r="OBE2" s="415"/>
      <c r="OBF2" s="415"/>
      <c r="OBG2" s="415"/>
      <c r="OBH2" s="415"/>
      <c r="OBI2" s="415"/>
      <c r="OBJ2" s="415"/>
      <c r="OBK2" s="415"/>
      <c r="OBL2" s="415"/>
      <c r="OBM2" s="415"/>
      <c r="OBN2" s="415"/>
      <c r="OBO2" s="415"/>
      <c r="OBP2" s="415"/>
      <c r="OBQ2" s="415"/>
      <c r="OBR2" s="415"/>
      <c r="OBS2" s="415"/>
      <c r="OBT2" s="415"/>
      <c r="OBU2" s="415"/>
      <c r="OBV2" s="415"/>
      <c r="OBW2" s="415"/>
      <c r="OBX2" s="415"/>
      <c r="OBY2" s="415"/>
      <c r="OBZ2" s="415"/>
      <c r="OCA2" s="415"/>
      <c r="OCB2" s="415"/>
      <c r="OCC2" s="415"/>
      <c r="OCD2" s="415"/>
      <c r="OCE2" s="415"/>
      <c r="OCF2" s="415"/>
      <c r="OCG2" s="415"/>
      <c r="OCH2" s="415"/>
      <c r="OCI2" s="415"/>
      <c r="OCJ2" s="415"/>
      <c r="OCK2" s="415"/>
      <c r="OCL2" s="415"/>
      <c r="OCM2" s="415"/>
      <c r="OCN2" s="415"/>
      <c r="OCO2" s="415"/>
      <c r="OCP2" s="415"/>
      <c r="OCQ2" s="415"/>
      <c r="OCR2" s="415"/>
      <c r="OCS2" s="415"/>
      <c r="OCT2" s="415"/>
      <c r="OCU2" s="415"/>
      <c r="OCV2" s="415"/>
      <c r="OCW2" s="415"/>
      <c r="OCX2" s="415"/>
      <c r="OCY2" s="415"/>
      <c r="OCZ2" s="415"/>
      <c r="ODA2" s="415"/>
      <c r="ODB2" s="415"/>
      <c r="ODC2" s="415"/>
      <c r="ODD2" s="415"/>
      <c r="ODE2" s="415"/>
      <c r="ODF2" s="415"/>
      <c r="ODG2" s="415"/>
      <c r="ODH2" s="415"/>
      <c r="ODI2" s="415"/>
      <c r="ODJ2" s="415"/>
      <c r="ODK2" s="415"/>
      <c r="ODL2" s="415"/>
      <c r="ODM2" s="415"/>
      <c r="ODN2" s="415"/>
      <c r="ODO2" s="415"/>
      <c r="ODP2" s="415"/>
      <c r="ODQ2" s="415"/>
      <c r="ODR2" s="415"/>
      <c r="ODS2" s="415"/>
      <c r="ODT2" s="415"/>
      <c r="ODU2" s="415"/>
      <c r="ODV2" s="415"/>
      <c r="ODW2" s="415"/>
      <c r="ODX2" s="415"/>
      <c r="ODY2" s="415"/>
      <c r="ODZ2" s="415"/>
      <c r="OEA2" s="415"/>
      <c r="OEB2" s="415"/>
      <c r="OEC2" s="415"/>
      <c r="OED2" s="415"/>
      <c r="OEE2" s="415"/>
      <c r="OEF2" s="415"/>
      <c r="OEG2" s="415"/>
      <c r="OEH2" s="415"/>
      <c r="OEI2" s="415"/>
      <c r="OEJ2" s="415"/>
      <c r="OEK2" s="415"/>
      <c r="OEL2" s="415"/>
      <c r="OEM2" s="415"/>
      <c r="OEN2" s="415"/>
      <c r="OEO2" s="415"/>
      <c r="OEP2" s="415"/>
      <c r="OEQ2" s="415"/>
      <c r="OER2" s="415"/>
      <c r="OES2" s="415"/>
      <c r="OET2" s="415"/>
      <c r="OEU2" s="415"/>
      <c r="OEV2" s="415"/>
      <c r="OEW2" s="415"/>
      <c r="OEX2" s="415"/>
      <c r="OEY2" s="415"/>
      <c r="OEZ2" s="415"/>
      <c r="OFA2" s="415"/>
      <c r="OFB2" s="415"/>
      <c r="OFC2" s="415"/>
      <c r="OFD2" s="415"/>
      <c r="OFE2" s="415"/>
      <c r="OFF2" s="415"/>
      <c r="OFG2" s="415"/>
      <c r="OFH2" s="415"/>
      <c r="OFI2" s="415"/>
      <c r="OFJ2" s="415"/>
      <c r="OFK2" s="415"/>
      <c r="OFL2" s="415"/>
      <c r="OFM2" s="415"/>
      <c r="OFN2" s="415"/>
      <c r="OFO2" s="415"/>
      <c r="OFP2" s="415"/>
      <c r="OFQ2" s="415"/>
      <c r="OFR2" s="415"/>
      <c r="OFS2" s="415"/>
      <c r="OFT2" s="415"/>
      <c r="OFU2" s="415"/>
      <c r="OFV2" s="415"/>
      <c r="OFW2" s="415"/>
      <c r="OFX2" s="415"/>
      <c r="OFY2" s="415"/>
      <c r="OFZ2" s="415"/>
      <c r="OGA2" s="415"/>
      <c r="OGB2" s="415"/>
      <c r="OGC2" s="415"/>
      <c r="OGD2" s="415"/>
      <c r="OGE2" s="415"/>
      <c r="OGF2" s="415"/>
      <c r="OGG2" s="415"/>
      <c r="OGH2" s="415"/>
      <c r="OGI2" s="415"/>
      <c r="OGJ2" s="415"/>
      <c r="OGK2" s="415"/>
      <c r="OGL2" s="415"/>
      <c r="OGM2" s="415"/>
      <c r="OGN2" s="415"/>
      <c r="OGO2" s="415"/>
      <c r="OGP2" s="415"/>
      <c r="OGQ2" s="415"/>
      <c r="OGR2" s="415"/>
      <c r="OGS2" s="415"/>
      <c r="OGT2" s="415"/>
      <c r="OGU2" s="415"/>
      <c r="OGV2" s="415"/>
      <c r="OGW2" s="415"/>
      <c r="OGX2" s="415"/>
      <c r="OGY2" s="415"/>
      <c r="OGZ2" s="415"/>
      <c r="OHA2" s="415"/>
      <c r="OHB2" s="415"/>
      <c r="OHC2" s="415"/>
      <c r="OHD2" s="415"/>
      <c r="OHE2" s="415"/>
      <c r="OHF2" s="415"/>
      <c r="OHG2" s="415"/>
      <c r="OHH2" s="415"/>
      <c r="OHI2" s="415"/>
      <c r="OHJ2" s="415"/>
      <c r="OHK2" s="415"/>
      <c r="OHL2" s="415"/>
      <c r="OHM2" s="415"/>
      <c r="OHN2" s="415"/>
      <c r="OHO2" s="415"/>
      <c r="OHP2" s="415"/>
      <c r="OHQ2" s="415"/>
      <c r="OHR2" s="415"/>
      <c r="OHS2" s="415"/>
      <c r="OHT2" s="415"/>
      <c r="OHU2" s="415"/>
      <c r="OHV2" s="415"/>
      <c r="OHW2" s="415"/>
      <c r="OHX2" s="415"/>
      <c r="OHY2" s="415"/>
      <c r="OHZ2" s="415"/>
      <c r="OIA2" s="415"/>
      <c r="OIB2" s="415"/>
      <c r="OIC2" s="415"/>
      <c r="OID2" s="415"/>
      <c r="OIE2" s="415"/>
      <c r="OIF2" s="415"/>
      <c r="OIG2" s="415"/>
      <c r="OIH2" s="415"/>
      <c r="OII2" s="415"/>
      <c r="OIJ2" s="415"/>
      <c r="OIK2" s="415"/>
      <c r="OIL2" s="415"/>
      <c r="OIM2" s="415"/>
      <c r="OIN2" s="415"/>
      <c r="OIO2" s="415"/>
      <c r="OIP2" s="415"/>
      <c r="OIQ2" s="415"/>
      <c r="OIR2" s="415"/>
      <c r="OIS2" s="415"/>
      <c r="OIT2" s="415"/>
      <c r="OIU2" s="415"/>
      <c r="OIV2" s="415"/>
      <c r="OIW2" s="415"/>
      <c r="OIX2" s="415"/>
      <c r="OIY2" s="415"/>
      <c r="OIZ2" s="415"/>
      <c r="OJA2" s="415"/>
      <c r="OJB2" s="415"/>
      <c r="OJC2" s="415"/>
      <c r="OJD2" s="415"/>
      <c r="OJE2" s="415"/>
      <c r="OJF2" s="415"/>
      <c r="OJG2" s="415"/>
      <c r="OJH2" s="415"/>
      <c r="OJI2" s="415"/>
      <c r="OJJ2" s="415"/>
      <c r="OJK2" s="415"/>
      <c r="OJL2" s="415"/>
      <c r="OJM2" s="415"/>
      <c r="OJN2" s="415"/>
      <c r="OJO2" s="415"/>
      <c r="OJP2" s="415"/>
      <c r="OJQ2" s="415"/>
      <c r="OJR2" s="415"/>
      <c r="OJS2" s="415"/>
      <c r="OJT2" s="415"/>
      <c r="OJU2" s="415"/>
      <c r="OJV2" s="415"/>
      <c r="OJW2" s="415"/>
      <c r="OJX2" s="415"/>
      <c r="OJY2" s="415"/>
      <c r="OJZ2" s="415"/>
      <c r="OKA2" s="415"/>
      <c r="OKB2" s="415"/>
      <c r="OKC2" s="415"/>
      <c r="OKD2" s="415"/>
      <c r="OKE2" s="415"/>
      <c r="OKF2" s="415"/>
      <c r="OKG2" s="415"/>
      <c r="OKH2" s="415"/>
      <c r="OKI2" s="415"/>
      <c r="OKJ2" s="415"/>
      <c r="OKK2" s="415"/>
      <c r="OKL2" s="415"/>
      <c r="OKM2" s="415"/>
      <c r="OKN2" s="415"/>
      <c r="OKO2" s="415"/>
      <c r="OKP2" s="415"/>
      <c r="OKQ2" s="415"/>
      <c r="OKR2" s="415"/>
      <c r="OKS2" s="415"/>
      <c r="OKT2" s="415"/>
      <c r="OKU2" s="415"/>
      <c r="OKV2" s="415"/>
      <c r="OKW2" s="415"/>
      <c r="OKX2" s="415"/>
      <c r="OKY2" s="415"/>
      <c r="OKZ2" s="415"/>
      <c r="OLA2" s="415"/>
      <c r="OLB2" s="415"/>
      <c r="OLC2" s="415"/>
      <c r="OLD2" s="415"/>
      <c r="OLE2" s="415"/>
      <c r="OLF2" s="415"/>
      <c r="OLG2" s="415"/>
      <c r="OLH2" s="415"/>
      <c r="OLI2" s="415"/>
      <c r="OLJ2" s="415"/>
      <c r="OLK2" s="415"/>
      <c r="OLL2" s="415"/>
      <c r="OLM2" s="415"/>
      <c r="OLN2" s="415"/>
      <c r="OLO2" s="415"/>
      <c r="OLP2" s="415"/>
      <c r="OLQ2" s="415"/>
      <c r="OLR2" s="415"/>
      <c r="OLS2" s="415"/>
      <c r="OLT2" s="415"/>
      <c r="OLU2" s="415"/>
      <c r="OLV2" s="415"/>
      <c r="OLW2" s="415"/>
      <c r="OLX2" s="415"/>
      <c r="OLY2" s="415"/>
      <c r="OLZ2" s="415"/>
      <c r="OMA2" s="415"/>
      <c r="OMB2" s="415"/>
      <c r="OMC2" s="415"/>
      <c r="OMD2" s="415"/>
      <c r="OME2" s="415"/>
      <c r="OMF2" s="415"/>
      <c r="OMG2" s="415"/>
      <c r="OMH2" s="415"/>
      <c r="OMI2" s="415"/>
      <c r="OMJ2" s="415"/>
      <c r="OMK2" s="415"/>
      <c r="OML2" s="415"/>
      <c r="OMM2" s="415"/>
      <c r="OMN2" s="415"/>
      <c r="OMO2" s="415"/>
      <c r="OMP2" s="415"/>
      <c r="OMQ2" s="415"/>
      <c r="OMR2" s="415"/>
      <c r="OMS2" s="415"/>
      <c r="OMT2" s="415"/>
      <c r="OMU2" s="415"/>
      <c r="OMV2" s="415"/>
      <c r="OMW2" s="415"/>
      <c r="OMX2" s="415"/>
      <c r="OMY2" s="415"/>
      <c r="OMZ2" s="415"/>
      <c r="ONA2" s="415"/>
      <c r="ONB2" s="415"/>
      <c r="ONC2" s="415"/>
      <c r="OND2" s="415"/>
      <c r="ONE2" s="415"/>
      <c r="ONF2" s="415"/>
      <c r="ONG2" s="415"/>
      <c r="ONH2" s="415"/>
      <c r="ONI2" s="415"/>
      <c r="ONJ2" s="415"/>
      <c r="ONK2" s="415"/>
      <c r="ONL2" s="415"/>
      <c r="ONM2" s="415"/>
      <c r="ONN2" s="415"/>
      <c r="ONO2" s="415"/>
      <c r="ONP2" s="415"/>
      <c r="ONQ2" s="415"/>
      <c r="ONR2" s="415"/>
      <c r="ONS2" s="415"/>
      <c r="ONT2" s="415"/>
      <c r="ONU2" s="415"/>
      <c r="ONV2" s="415"/>
      <c r="ONW2" s="415"/>
      <c r="ONX2" s="415"/>
      <c r="ONY2" s="415"/>
      <c r="ONZ2" s="415"/>
      <c r="OOA2" s="415"/>
      <c r="OOB2" s="415"/>
      <c r="OOC2" s="415"/>
      <c r="OOD2" s="415"/>
      <c r="OOE2" s="415"/>
      <c r="OOF2" s="415"/>
      <c r="OOG2" s="415"/>
      <c r="OOH2" s="415"/>
      <c r="OOI2" s="415"/>
      <c r="OOJ2" s="415"/>
      <c r="OOK2" s="415"/>
      <c r="OOL2" s="415"/>
      <c r="OOM2" s="415"/>
      <c r="OON2" s="415"/>
      <c r="OOO2" s="415"/>
      <c r="OOP2" s="415"/>
      <c r="OOQ2" s="415"/>
      <c r="OOR2" s="415"/>
      <c r="OOS2" s="415"/>
      <c r="OOT2" s="415"/>
      <c r="OOU2" s="415"/>
      <c r="OOV2" s="415"/>
      <c r="OOW2" s="415"/>
      <c r="OOX2" s="415"/>
      <c r="OOY2" s="415"/>
      <c r="OOZ2" s="415"/>
      <c r="OPA2" s="415"/>
      <c r="OPB2" s="415"/>
      <c r="OPC2" s="415"/>
      <c r="OPD2" s="415"/>
      <c r="OPE2" s="415"/>
      <c r="OPF2" s="415"/>
      <c r="OPG2" s="415"/>
      <c r="OPH2" s="415"/>
      <c r="OPI2" s="415"/>
      <c r="OPJ2" s="415"/>
      <c r="OPK2" s="415"/>
      <c r="OPL2" s="415"/>
      <c r="OPM2" s="415"/>
      <c r="OPN2" s="415"/>
      <c r="OPO2" s="415"/>
      <c r="OPP2" s="415"/>
      <c r="OPQ2" s="415"/>
      <c r="OPR2" s="415"/>
      <c r="OPS2" s="415"/>
      <c r="OPT2" s="415"/>
      <c r="OPU2" s="415"/>
      <c r="OPV2" s="415"/>
      <c r="OPW2" s="415"/>
      <c r="OPX2" s="415"/>
      <c r="OPY2" s="415"/>
      <c r="OPZ2" s="415"/>
      <c r="OQA2" s="415"/>
      <c r="OQB2" s="415"/>
      <c r="OQC2" s="415"/>
      <c r="OQD2" s="415"/>
      <c r="OQE2" s="415"/>
      <c r="OQF2" s="415"/>
      <c r="OQG2" s="415"/>
      <c r="OQH2" s="415"/>
      <c r="OQI2" s="415"/>
      <c r="OQJ2" s="415"/>
      <c r="OQK2" s="415"/>
      <c r="OQL2" s="415"/>
      <c r="OQM2" s="415"/>
      <c r="OQN2" s="415"/>
      <c r="OQO2" s="415"/>
      <c r="OQP2" s="415"/>
      <c r="OQQ2" s="415"/>
      <c r="OQR2" s="415"/>
      <c r="OQS2" s="415"/>
      <c r="OQT2" s="415"/>
      <c r="OQU2" s="415"/>
      <c r="OQV2" s="415"/>
      <c r="OQW2" s="415"/>
      <c r="OQX2" s="415"/>
      <c r="OQY2" s="415"/>
      <c r="OQZ2" s="415"/>
      <c r="ORA2" s="415"/>
      <c r="ORB2" s="415"/>
      <c r="ORC2" s="415"/>
      <c r="ORD2" s="415"/>
      <c r="ORE2" s="415"/>
      <c r="ORF2" s="415"/>
      <c r="ORG2" s="415"/>
      <c r="ORH2" s="415"/>
      <c r="ORI2" s="415"/>
      <c r="ORJ2" s="415"/>
      <c r="ORK2" s="415"/>
      <c r="ORL2" s="415"/>
      <c r="ORM2" s="415"/>
      <c r="ORN2" s="415"/>
      <c r="ORO2" s="415"/>
      <c r="ORP2" s="415"/>
      <c r="ORQ2" s="415"/>
      <c r="ORR2" s="415"/>
      <c r="ORS2" s="415"/>
      <c r="ORT2" s="415"/>
      <c r="ORU2" s="415"/>
      <c r="ORV2" s="415"/>
      <c r="ORW2" s="415"/>
      <c r="ORX2" s="415"/>
      <c r="ORY2" s="415"/>
      <c r="ORZ2" s="415"/>
      <c r="OSA2" s="415"/>
      <c r="OSB2" s="415"/>
      <c r="OSC2" s="415"/>
      <c r="OSD2" s="415"/>
      <c r="OSE2" s="415"/>
      <c r="OSF2" s="415"/>
      <c r="OSG2" s="415"/>
      <c r="OSH2" s="415"/>
      <c r="OSI2" s="415"/>
      <c r="OSJ2" s="415"/>
      <c r="OSK2" s="415"/>
      <c r="OSL2" s="415"/>
      <c r="OSM2" s="415"/>
      <c r="OSN2" s="415"/>
      <c r="OSO2" s="415"/>
      <c r="OSP2" s="415"/>
      <c r="OSQ2" s="415"/>
      <c r="OSR2" s="415"/>
      <c r="OSS2" s="415"/>
      <c r="OST2" s="415"/>
      <c r="OSU2" s="415"/>
      <c r="OSV2" s="415"/>
      <c r="OSW2" s="415"/>
      <c r="OSX2" s="415"/>
      <c r="OSY2" s="415"/>
      <c r="OSZ2" s="415"/>
      <c r="OTA2" s="415"/>
      <c r="OTB2" s="415"/>
      <c r="OTC2" s="415"/>
      <c r="OTD2" s="415"/>
      <c r="OTE2" s="415"/>
      <c r="OTF2" s="415"/>
      <c r="OTG2" s="415"/>
      <c r="OTH2" s="415"/>
      <c r="OTI2" s="415"/>
      <c r="OTJ2" s="415"/>
      <c r="OTK2" s="415"/>
      <c r="OTL2" s="415"/>
      <c r="OTM2" s="415"/>
      <c r="OTN2" s="415"/>
      <c r="OTO2" s="415"/>
      <c r="OTP2" s="415"/>
      <c r="OTQ2" s="415"/>
      <c r="OTR2" s="415"/>
      <c r="OTS2" s="415"/>
      <c r="OTT2" s="415"/>
      <c r="OTU2" s="415"/>
      <c r="OTV2" s="415"/>
      <c r="OTW2" s="415"/>
      <c r="OTX2" s="415"/>
      <c r="OTY2" s="415"/>
      <c r="OTZ2" s="415"/>
      <c r="OUA2" s="415"/>
      <c r="OUB2" s="415"/>
      <c r="OUC2" s="415"/>
      <c r="OUD2" s="415"/>
      <c r="OUE2" s="415"/>
      <c r="OUF2" s="415"/>
      <c r="OUG2" s="415"/>
      <c r="OUH2" s="415"/>
      <c r="OUI2" s="415"/>
      <c r="OUJ2" s="415"/>
      <c r="OUK2" s="415"/>
      <c r="OUL2" s="415"/>
      <c r="OUM2" s="415"/>
      <c r="OUN2" s="415"/>
      <c r="OUO2" s="415"/>
      <c r="OUP2" s="415"/>
      <c r="OUQ2" s="415"/>
      <c r="OUR2" s="415"/>
      <c r="OUS2" s="415"/>
      <c r="OUT2" s="415"/>
      <c r="OUU2" s="415"/>
      <c r="OUV2" s="415"/>
      <c r="OUW2" s="415"/>
      <c r="OUX2" s="415"/>
      <c r="OUY2" s="415"/>
      <c r="OUZ2" s="415"/>
      <c r="OVA2" s="415"/>
      <c r="OVB2" s="415"/>
      <c r="OVC2" s="415"/>
      <c r="OVD2" s="415"/>
      <c r="OVE2" s="415"/>
      <c r="OVF2" s="415"/>
      <c r="OVG2" s="415"/>
      <c r="OVH2" s="415"/>
      <c r="OVI2" s="415"/>
      <c r="OVJ2" s="415"/>
      <c r="OVK2" s="415"/>
      <c r="OVL2" s="415"/>
      <c r="OVM2" s="415"/>
      <c r="OVN2" s="415"/>
      <c r="OVO2" s="415"/>
      <c r="OVP2" s="415"/>
      <c r="OVQ2" s="415"/>
      <c r="OVR2" s="415"/>
      <c r="OVS2" s="415"/>
      <c r="OVT2" s="415"/>
      <c r="OVU2" s="415"/>
      <c r="OVV2" s="415"/>
      <c r="OVW2" s="415"/>
      <c r="OVX2" s="415"/>
      <c r="OVY2" s="415"/>
      <c r="OVZ2" s="415"/>
      <c r="OWA2" s="415"/>
      <c r="OWB2" s="415"/>
      <c r="OWC2" s="415"/>
      <c r="OWD2" s="415"/>
      <c r="OWE2" s="415"/>
      <c r="OWF2" s="415"/>
      <c r="OWG2" s="415"/>
      <c r="OWH2" s="415"/>
      <c r="OWI2" s="415"/>
      <c r="OWJ2" s="415"/>
      <c r="OWK2" s="415"/>
      <c r="OWL2" s="415"/>
      <c r="OWM2" s="415"/>
      <c r="OWN2" s="415"/>
      <c r="OWO2" s="415"/>
      <c r="OWP2" s="415"/>
      <c r="OWQ2" s="415"/>
      <c r="OWR2" s="415"/>
      <c r="OWS2" s="415"/>
      <c r="OWT2" s="415"/>
      <c r="OWU2" s="415"/>
      <c r="OWV2" s="415"/>
      <c r="OWW2" s="415"/>
      <c r="OWX2" s="415"/>
      <c r="OWY2" s="415"/>
      <c r="OWZ2" s="415"/>
      <c r="OXA2" s="415"/>
      <c r="OXB2" s="415"/>
      <c r="OXC2" s="415"/>
      <c r="OXD2" s="415"/>
      <c r="OXE2" s="415"/>
      <c r="OXF2" s="415"/>
      <c r="OXG2" s="415"/>
      <c r="OXH2" s="415"/>
      <c r="OXI2" s="415"/>
      <c r="OXJ2" s="415"/>
      <c r="OXK2" s="415"/>
      <c r="OXL2" s="415"/>
      <c r="OXM2" s="415"/>
      <c r="OXN2" s="415"/>
      <c r="OXO2" s="415"/>
      <c r="OXP2" s="415"/>
      <c r="OXQ2" s="415"/>
      <c r="OXR2" s="415"/>
      <c r="OXS2" s="415"/>
      <c r="OXT2" s="415"/>
      <c r="OXU2" s="415"/>
      <c r="OXV2" s="415"/>
      <c r="OXW2" s="415"/>
      <c r="OXX2" s="415"/>
      <c r="OXY2" s="415"/>
      <c r="OXZ2" s="415"/>
      <c r="OYA2" s="415"/>
      <c r="OYB2" s="415"/>
      <c r="OYC2" s="415"/>
      <c r="OYD2" s="415"/>
      <c r="OYE2" s="415"/>
      <c r="OYF2" s="415"/>
      <c r="OYG2" s="415"/>
      <c r="OYH2" s="415"/>
      <c r="OYI2" s="415"/>
      <c r="OYJ2" s="415"/>
      <c r="OYK2" s="415"/>
      <c r="OYL2" s="415"/>
      <c r="OYM2" s="415"/>
      <c r="OYN2" s="415"/>
      <c r="OYO2" s="415"/>
      <c r="OYP2" s="415"/>
      <c r="OYQ2" s="415"/>
      <c r="OYR2" s="415"/>
      <c r="OYS2" s="415"/>
      <c r="OYT2" s="415"/>
      <c r="OYU2" s="415"/>
      <c r="OYV2" s="415"/>
      <c r="OYW2" s="415"/>
      <c r="OYX2" s="415"/>
      <c r="OYY2" s="415"/>
      <c r="OYZ2" s="415"/>
      <c r="OZA2" s="415"/>
      <c r="OZB2" s="415"/>
      <c r="OZC2" s="415"/>
      <c r="OZD2" s="415"/>
      <c r="OZE2" s="415"/>
      <c r="OZF2" s="415"/>
      <c r="OZG2" s="415"/>
      <c r="OZH2" s="415"/>
      <c r="OZI2" s="415"/>
      <c r="OZJ2" s="415"/>
      <c r="OZK2" s="415"/>
      <c r="OZL2" s="415"/>
      <c r="OZM2" s="415"/>
      <c r="OZN2" s="415"/>
      <c r="OZO2" s="415"/>
      <c r="OZP2" s="415"/>
      <c r="OZQ2" s="415"/>
      <c r="OZR2" s="415"/>
      <c r="OZS2" s="415"/>
      <c r="OZT2" s="415"/>
      <c r="OZU2" s="415"/>
      <c r="OZV2" s="415"/>
      <c r="OZW2" s="415"/>
      <c r="OZX2" s="415"/>
      <c r="OZY2" s="415"/>
      <c r="OZZ2" s="415"/>
      <c r="PAA2" s="415"/>
      <c r="PAB2" s="415"/>
      <c r="PAC2" s="415"/>
      <c r="PAD2" s="415"/>
      <c r="PAE2" s="415"/>
      <c r="PAF2" s="415"/>
      <c r="PAG2" s="415"/>
      <c r="PAH2" s="415"/>
      <c r="PAI2" s="415"/>
      <c r="PAJ2" s="415"/>
      <c r="PAK2" s="415"/>
      <c r="PAL2" s="415"/>
      <c r="PAM2" s="415"/>
      <c r="PAN2" s="415"/>
      <c r="PAO2" s="415"/>
      <c r="PAP2" s="415"/>
      <c r="PAQ2" s="415"/>
      <c r="PAR2" s="415"/>
      <c r="PAS2" s="415"/>
      <c r="PAT2" s="415"/>
      <c r="PAU2" s="415"/>
      <c r="PAV2" s="415"/>
      <c r="PAW2" s="415"/>
      <c r="PAX2" s="415"/>
      <c r="PAY2" s="415"/>
      <c r="PAZ2" s="415"/>
      <c r="PBA2" s="415"/>
      <c r="PBB2" s="415"/>
      <c r="PBC2" s="415"/>
      <c r="PBD2" s="415"/>
      <c r="PBE2" s="415"/>
      <c r="PBF2" s="415"/>
      <c r="PBG2" s="415"/>
      <c r="PBH2" s="415"/>
      <c r="PBI2" s="415"/>
      <c r="PBJ2" s="415"/>
      <c r="PBK2" s="415"/>
      <c r="PBL2" s="415"/>
      <c r="PBM2" s="415"/>
      <c r="PBN2" s="415"/>
      <c r="PBO2" s="415"/>
      <c r="PBP2" s="415"/>
      <c r="PBQ2" s="415"/>
      <c r="PBR2" s="415"/>
      <c r="PBS2" s="415"/>
      <c r="PBT2" s="415"/>
      <c r="PBU2" s="415"/>
      <c r="PBV2" s="415"/>
      <c r="PBW2" s="415"/>
      <c r="PBX2" s="415"/>
      <c r="PBY2" s="415"/>
      <c r="PBZ2" s="415"/>
      <c r="PCA2" s="415"/>
      <c r="PCB2" s="415"/>
      <c r="PCC2" s="415"/>
      <c r="PCD2" s="415"/>
      <c r="PCE2" s="415"/>
      <c r="PCF2" s="415"/>
      <c r="PCG2" s="415"/>
      <c r="PCH2" s="415"/>
      <c r="PCI2" s="415"/>
      <c r="PCJ2" s="415"/>
      <c r="PCK2" s="415"/>
      <c r="PCL2" s="415"/>
      <c r="PCM2" s="415"/>
      <c r="PCN2" s="415"/>
      <c r="PCO2" s="415"/>
      <c r="PCP2" s="415"/>
      <c r="PCQ2" s="415"/>
      <c r="PCR2" s="415"/>
      <c r="PCS2" s="415"/>
      <c r="PCT2" s="415"/>
      <c r="PCU2" s="415"/>
      <c r="PCV2" s="415"/>
      <c r="PCW2" s="415"/>
      <c r="PCX2" s="415"/>
      <c r="PCY2" s="415"/>
      <c r="PCZ2" s="415"/>
      <c r="PDA2" s="415"/>
      <c r="PDB2" s="415"/>
      <c r="PDC2" s="415"/>
      <c r="PDD2" s="415"/>
      <c r="PDE2" s="415"/>
      <c r="PDF2" s="415"/>
      <c r="PDG2" s="415"/>
      <c r="PDH2" s="415"/>
      <c r="PDI2" s="415"/>
      <c r="PDJ2" s="415"/>
      <c r="PDK2" s="415"/>
      <c r="PDL2" s="415"/>
      <c r="PDM2" s="415"/>
      <c r="PDN2" s="415"/>
      <c r="PDO2" s="415"/>
      <c r="PDP2" s="415"/>
      <c r="PDQ2" s="415"/>
      <c r="PDR2" s="415"/>
      <c r="PDS2" s="415"/>
      <c r="PDT2" s="415"/>
      <c r="PDU2" s="415"/>
      <c r="PDV2" s="415"/>
      <c r="PDW2" s="415"/>
      <c r="PDX2" s="415"/>
      <c r="PDY2" s="415"/>
      <c r="PDZ2" s="415"/>
      <c r="PEA2" s="415"/>
      <c r="PEB2" s="415"/>
      <c r="PEC2" s="415"/>
      <c r="PED2" s="415"/>
      <c r="PEE2" s="415"/>
      <c r="PEF2" s="415"/>
      <c r="PEG2" s="415"/>
      <c r="PEH2" s="415"/>
      <c r="PEI2" s="415"/>
      <c r="PEJ2" s="415"/>
      <c r="PEK2" s="415"/>
      <c r="PEL2" s="415"/>
      <c r="PEM2" s="415"/>
      <c r="PEN2" s="415"/>
      <c r="PEO2" s="415"/>
      <c r="PEP2" s="415"/>
      <c r="PEQ2" s="415"/>
      <c r="PER2" s="415"/>
      <c r="PES2" s="415"/>
      <c r="PET2" s="415"/>
      <c r="PEU2" s="415"/>
      <c r="PEV2" s="415"/>
      <c r="PEW2" s="415"/>
      <c r="PEX2" s="415"/>
      <c r="PEY2" s="415"/>
      <c r="PEZ2" s="415"/>
      <c r="PFA2" s="415"/>
      <c r="PFB2" s="415"/>
      <c r="PFC2" s="415"/>
      <c r="PFD2" s="415"/>
      <c r="PFE2" s="415"/>
      <c r="PFF2" s="415"/>
      <c r="PFG2" s="415"/>
      <c r="PFH2" s="415"/>
      <c r="PFI2" s="415"/>
      <c r="PFJ2" s="415"/>
      <c r="PFK2" s="415"/>
      <c r="PFL2" s="415"/>
      <c r="PFM2" s="415"/>
      <c r="PFN2" s="415"/>
      <c r="PFO2" s="415"/>
      <c r="PFP2" s="415"/>
      <c r="PFQ2" s="415"/>
      <c r="PFR2" s="415"/>
      <c r="PFS2" s="415"/>
      <c r="PFT2" s="415"/>
      <c r="PFU2" s="415"/>
      <c r="PFV2" s="415"/>
      <c r="PFW2" s="415"/>
      <c r="PFX2" s="415"/>
      <c r="PFY2" s="415"/>
      <c r="PFZ2" s="415"/>
      <c r="PGA2" s="415"/>
      <c r="PGB2" s="415"/>
      <c r="PGC2" s="415"/>
      <c r="PGD2" s="415"/>
      <c r="PGE2" s="415"/>
      <c r="PGF2" s="415"/>
      <c r="PGG2" s="415"/>
      <c r="PGH2" s="415"/>
      <c r="PGI2" s="415"/>
      <c r="PGJ2" s="415"/>
      <c r="PGK2" s="415"/>
      <c r="PGL2" s="415"/>
      <c r="PGM2" s="415"/>
      <c r="PGN2" s="415"/>
      <c r="PGO2" s="415"/>
      <c r="PGP2" s="415"/>
      <c r="PGQ2" s="415"/>
      <c r="PGR2" s="415"/>
      <c r="PGS2" s="415"/>
      <c r="PGT2" s="415"/>
      <c r="PGU2" s="415"/>
      <c r="PGV2" s="415"/>
      <c r="PGW2" s="415"/>
      <c r="PGX2" s="415"/>
      <c r="PGY2" s="415"/>
      <c r="PGZ2" s="415"/>
      <c r="PHA2" s="415"/>
      <c r="PHB2" s="415"/>
      <c r="PHC2" s="415"/>
      <c r="PHD2" s="415"/>
      <c r="PHE2" s="415"/>
      <c r="PHF2" s="415"/>
      <c r="PHG2" s="415"/>
      <c r="PHH2" s="415"/>
      <c r="PHI2" s="415"/>
      <c r="PHJ2" s="415"/>
      <c r="PHK2" s="415"/>
      <c r="PHL2" s="415"/>
      <c r="PHM2" s="415"/>
      <c r="PHN2" s="415"/>
      <c r="PHO2" s="415"/>
      <c r="PHP2" s="415"/>
      <c r="PHQ2" s="415"/>
      <c r="PHR2" s="415"/>
      <c r="PHS2" s="415"/>
      <c r="PHT2" s="415"/>
      <c r="PHU2" s="415"/>
      <c r="PHV2" s="415"/>
      <c r="PHW2" s="415"/>
      <c r="PHX2" s="415"/>
      <c r="PHY2" s="415"/>
      <c r="PHZ2" s="415"/>
      <c r="PIA2" s="415"/>
      <c r="PIB2" s="415"/>
      <c r="PIC2" s="415"/>
      <c r="PID2" s="415"/>
      <c r="PIE2" s="415"/>
      <c r="PIF2" s="415"/>
      <c r="PIG2" s="415"/>
      <c r="PIH2" s="415"/>
      <c r="PII2" s="415"/>
      <c r="PIJ2" s="415"/>
      <c r="PIK2" s="415"/>
      <c r="PIL2" s="415"/>
      <c r="PIM2" s="415"/>
      <c r="PIN2" s="415"/>
      <c r="PIO2" s="415"/>
      <c r="PIP2" s="415"/>
      <c r="PIQ2" s="415"/>
      <c r="PIR2" s="415"/>
      <c r="PIS2" s="415"/>
      <c r="PIT2" s="415"/>
      <c r="PIU2" s="415"/>
      <c r="PIV2" s="415"/>
      <c r="PIW2" s="415"/>
      <c r="PIX2" s="415"/>
      <c r="PIY2" s="415"/>
      <c r="PIZ2" s="415"/>
      <c r="PJA2" s="415"/>
      <c r="PJB2" s="415"/>
      <c r="PJC2" s="415"/>
      <c r="PJD2" s="415"/>
      <c r="PJE2" s="415"/>
      <c r="PJF2" s="415"/>
      <c r="PJG2" s="415"/>
      <c r="PJH2" s="415"/>
      <c r="PJI2" s="415"/>
      <c r="PJJ2" s="415"/>
      <c r="PJK2" s="415"/>
      <c r="PJL2" s="415"/>
      <c r="PJM2" s="415"/>
      <c r="PJN2" s="415"/>
      <c r="PJO2" s="415"/>
      <c r="PJP2" s="415"/>
      <c r="PJQ2" s="415"/>
      <c r="PJR2" s="415"/>
      <c r="PJS2" s="415"/>
      <c r="PJT2" s="415"/>
      <c r="PJU2" s="415"/>
      <c r="PJV2" s="415"/>
      <c r="PJW2" s="415"/>
      <c r="PJX2" s="415"/>
      <c r="PJY2" s="415"/>
      <c r="PJZ2" s="415"/>
      <c r="PKA2" s="415"/>
      <c r="PKB2" s="415"/>
      <c r="PKC2" s="415"/>
      <c r="PKD2" s="415"/>
      <c r="PKE2" s="415"/>
      <c r="PKF2" s="415"/>
      <c r="PKG2" s="415"/>
      <c r="PKH2" s="415"/>
      <c r="PKI2" s="415"/>
      <c r="PKJ2" s="415"/>
      <c r="PKK2" s="415"/>
      <c r="PKL2" s="415"/>
      <c r="PKM2" s="415"/>
      <c r="PKN2" s="415"/>
      <c r="PKO2" s="415"/>
      <c r="PKP2" s="415"/>
      <c r="PKQ2" s="415"/>
      <c r="PKR2" s="415"/>
      <c r="PKS2" s="415"/>
      <c r="PKT2" s="415"/>
      <c r="PKU2" s="415"/>
      <c r="PKV2" s="415"/>
      <c r="PKW2" s="415"/>
      <c r="PKX2" s="415"/>
      <c r="PKY2" s="415"/>
      <c r="PKZ2" s="415"/>
      <c r="PLA2" s="415"/>
      <c r="PLB2" s="415"/>
      <c r="PLC2" s="415"/>
      <c r="PLD2" s="415"/>
      <c r="PLE2" s="415"/>
      <c r="PLF2" s="415"/>
      <c r="PLG2" s="415"/>
      <c r="PLH2" s="415"/>
      <c r="PLI2" s="415"/>
      <c r="PLJ2" s="415"/>
      <c r="PLK2" s="415"/>
      <c r="PLL2" s="415"/>
      <c r="PLM2" s="415"/>
      <c r="PLN2" s="415"/>
      <c r="PLO2" s="415"/>
      <c r="PLP2" s="415"/>
      <c r="PLQ2" s="415"/>
      <c r="PLR2" s="415"/>
      <c r="PLS2" s="415"/>
      <c r="PLT2" s="415"/>
      <c r="PLU2" s="415"/>
      <c r="PLV2" s="415"/>
      <c r="PLW2" s="415"/>
      <c r="PLX2" s="415"/>
      <c r="PLY2" s="415"/>
      <c r="PLZ2" s="415"/>
      <c r="PMA2" s="415"/>
      <c r="PMB2" s="415"/>
      <c r="PMC2" s="415"/>
      <c r="PMD2" s="415"/>
      <c r="PME2" s="415"/>
      <c r="PMF2" s="415"/>
      <c r="PMG2" s="415"/>
      <c r="PMH2" s="415"/>
      <c r="PMI2" s="415"/>
      <c r="PMJ2" s="415"/>
      <c r="PMK2" s="415"/>
      <c r="PML2" s="415"/>
      <c r="PMM2" s="415"/>
      <c r="PMN2" s="415"/>
      <c r="PMO2" s="415"/>
      <c r="PMP2" s="415"/>
      <c r="PMQ2" s="415"/>
      <c r="PMR2" s="415"/>
      <c r="PMS2" s="415"/>
      <c r="PMT2" s="415"/>
      <c r="PMU2" s="415"/>
      <c r="PMV2" s="415"/>
      <c r="PMW2" s="415"/>
      <c r="PMX2" s="415"/>
      <c r="PMY2" s="415"/>
      <c r="PMZ2" s="415"/>
      <c r="PNA2" s="415"/>
      <c r="PNB2" s="415"/>
      <c r="PNC2" s="415"/>
      <c r="PND2" s="415"/>
      <c r="PNE2" s="415"/>
      <c r="PNF2" s="415"/>
      <c r="PNG2" s="415"/>
      <c r="PNH2" s="415"/>
      <c r="PNI2" s="415"/>
      <c r="PNJ2" s="415"/>
      <c r="PNK2" s="415"/>
      <c r="PNL2" s="415"/>
      <c r="PNM2" s="415"/>
      <c r="PNN2" s="415"/>
      <c r="PNO2" s="415"/>
      <c r="PNP2" s="415"/>
      <c r="PNQ2" s="415"/>
      <c r="PNR2" s="415"/>
      <c r="PNS2" s="415"/>
      <c r="PNT2" s="415"/>
      <c r="PNU2" s="415"/>
      <c r="PNV2" s="415"/>
      <c r="PNW2" s="415"/>
      <c r="PNX2" s="415"/>
      <c r="PNY2" s="415"/>
      <c r="PNZ2" s="415"/>
      <c r="POA2" s="415"/>
      <c r="POB2" s="415"/>
      <c r="POC2" s="415"/>
      <c r="POD2" s="415"/>
      <c r="POE2" s="415"/>
      <c r="POF2" s="415"/>
      <c r="POG2" s="415"/>
      <c r="POH2" s="415"/>
      <c r="POI2" s="415"/>
      <c r="POJ2" s="415"/>
      <c r="POK2" s="415"/>
      <c r="POL2" s="415"/>
      <c r="POM2" s="415"/>
      <c r="PON2" s="415"/>
      <c r="POO2" s="415"/>
      <c r="POP2" s="415"/>
      <c r="POQ2" s="415"/>
      <c r="POR2" s="415"/>
      <c r="POS2" s="415"/>
      <c r="POT2" s="415"/>
      <c r="POU2" s="415"/>
      <c r="POV2" s="415"/>
      <c r="POW2" s="415"/>
      <c r="POX2" s="415"/>
      <c r="POY2" s="415"/>
      <c r="POZ2" s="415"/>
      <c r="PPA2" s="415"/>
      <c r="PPB2" s="415"/>
      <c r="PPC2" s="415"/>
      <c r="PPD2" s="415"/>
      <c r="PPE2" s="415"/>
      <c r="PPF2" s="415"/>
      <c r="PPG2" s="415"/>
      <c r="PPH2" s="415"/>
      <c r="PPI2" s="415"/>
      <c r="PPJ2" s="415"/>
      <c r="PPK2" s="415"/>
      <c r="PPL2" s="415"/>
      <c r="PPM2" s="415"/>
      <c r="PPN2" s="415"/>
      <c r="PPO2" s="415"/>
      <c r="PPP2" s="415"/>
      <c r="PPQ2" s="415"/>
      <c r="PPR2" s="415"/>
      <c r="PPS2" s="415"/>
      <c r="PPT2" s="415"/>
      <c r="PPU2" s="415"/>
      <c r="PPV2" s="415"/>
      <c r="PPW2" s="415"/>
      <c r="PPX2" s="415"/>
      <c r="PPY2" s="415"/>
      <c r="PPZ2" s="415"/>
      <c r="PQA2" s="415"/>
      <c r="PQB2" s="415"/>
      <c r="PQC2" s="415"/>
      <c r="PQD2" s="415"/>
      <c r="PQE2" s="415"/>
      <c r="PQF2" s="415"/>
      <c r="PQG2" s="415"/>
      <c r="PQH2" s="415"/>
      <c r="PQI2" s="415"/>
      <c r="PQJ2" s="415"/>
      <c r="PQK2" s="415"/>
      <c r="PQL2" s="415"/>
      <c r="PQM2" s="415"/>
      <c r="PQN2" s="415"/>
      <c r="PQO2" s="415"/>
      <c r="PQP2" s="415"/>
      <c r="PQQ2" s="415"/>
      <c r="PQR2" s="415"/>
      <c r="PQS2" s="415"/>
      <c r="PQT2" s="415"/>
      <c r="PQU2" s="415"/>
      <c r="PQV2" s="415"/>
      <c r="PQW2" s="415"/>
      <c r="PQX2" s="415"/>
      <c r="PQY2" s="415"/>
      <c r="PQZ2" s="415"/>
      <c r="PRA2" s="415"/>
      <c r="PRB2" s="415"/>
      <c r="PRC2" s="415"/>
      <c r="PRD2" s="415"/>
      <c r="PRE2" s="415"/>
      <c r="PRF2" s="415"/>
      <c r="PRG2" s="415"/>
      <c r="PRH2" s="415"/>
      <c r="PRI2" s="415"/>
      <c r="PRJ2" s="415"/>
      <c r="PRK2" s="415"/>
      <c r="PRL2" s="415"/>
      <c r="PRM2" s="415"/>
      <c r="PRN2" s="415"/>
      <c r="PRO2" s="415"/>
      <c r="PRP2" s="415"/>
      <c r="PRQ2" s="415"/>
      <c r="PRR2" s="415"/>
      <c r="PRS2" s="415"/>
      <c r="PRT2" s="415"/>
      <c r="PRU2" s="415"/>
      <c r="PRV2" s="415"/>
      <c r="PRW2" s="415"/>
      <c r="PRX2" s="415"/>
      <c r="PRY2" s="415"/>
      <c r="PRZ2" s="415"/>
      <c r="PSA2" s="415"/>
      <c r="PSB2" s="415"/>
      <c r="PSC2" s="415"/>
      <c r="PSD2" s="415"/>
      <c r="PSE2" s="415"/>
      <c r="PSF2" s="415"/>
      <c r="PSG2" s="415"/>
      <c r="PSH2" s="415"/>
      <c r="PSI2" s="415"/>
      <c r="PSJ2" s="415"/>
      <c r="PSK2" s="415"/>
      <c r="PSL2" s="415"/>
      <c r="PSM2" s="415"/>
      <c r="PSN2" s="415"/>
      <c r="PSO2" s="415"/>
      <c r="PSP2" s="415"/>
      <c r="PSQ2" s="415"/>
      <c r="PSR2" s="415"/>
      <c r="PSS2" s="415"/>
      <c r="PST2" s="415"/>
      <c r="PSU2" s="415"/>
      <c r="PSV2" s="415"/>
      <c r="PSW2" s="415"/>
      <c r="PSX2" s="415"/>
      <c r="PSY2" s="415"/>
      <c r="PSZ2" s="415"/>
      <c r="PTA2" s="415"/>
      <c r="PTB2" s="415"/>
      <c r="PTC2" s="415"/>
      <c r="PTD2" s="415"/>
      <c r="PTE2" s="415"/>
      <c r="PTF2" s="415"/>
      <c r="PTG2" s="415"/>
      <c r="PTH2" s="415"/>
      <c r="PTI2" s="415"/>
      <c r="PTJ2" s="415"/>
      <c r="PTK2" s="415"/>
      <c r="PTL2" s="415"/>
      <c r="PTM2" s="415"/>
      <c r="PTN2" s="415"/>
      <c r="PTO2" s="415"/>
      <c r="PTP2" s="415"/>
      <c r="PTQ2" s="415"/>
      <c r="PTR2" s="415"/>
      <c r="PTS2" s="415"/>
      <c r="PTT2" s="415"/>
      <c r="PTU2" s="415"/>
      <c r="PTV2" s="415"/>
      <c r="PTW2" s="415"/>
      <c r="PTX2" s="415"/>
      <c r="PTY2" s="415"/>
      <c r="PTZ2" s="415"/>
      <c r="PUA2" s="415"/>
      <c r="PUB2" s="415"/>
      <c r="PUC2" s="415"/>
      <c r="PUD2" s="415"/>
      <c r="PUE2" s="415"/>
      <c r="PUF2" s="415"/>
      <c r="PUG2" s="415"/>
      <c r="PUH2" s="415"/>
      <c r="PUI2" s="415"/>
      <c r="PUJ2" s="415"/>
      <c r="PUK2" s="415"/>
      <c r="PUL2" s="415"/>
      <c r="PUM2" s="415"/>
      <c r="PUN2" s="415"/>
      <c r="PUO2" s="415"/>
      <c r="PUP2" s="415"/>
      <c r="PUQ2" s="415"/>
      <c r="PUR2" s="415"/>
      <c r="PUS2" s="415"/>
      <c r="PUT2" s="415"/>
      <c r="PUU2" s="415"/>
      <c r="PUV2" s="415"/>
      <c r="PUW2" s="415"/>
      <c r="PUX2" s="415"/>
      <c r="PUY2" s="415"/>
      <c r="PUZ2" s="415"/>
      <c r="PVA2" s="415"/>
      <c r="PVB2" s="415"/>
      <c r="PVC2" s="415"/>
      <c r="PVD2" s="415"/>
      <c r="PVE2" s="415"/>
      <c r="PVF2" s="415"/>
      <c r="PVG2" s="415"/>
      <c r="PVH2" s="415"/>
      <c r="PVI2" s="415"/>
      <c r="PVJ2" s="415"/>
      <c r="PVK2" s="415"/>
      <c r="PVL2" s="415"/>
      <c r="PVM2" s="415"/>
      <c r="PVN2" s="415"/>
      <c r="PVO2" s="415"/>
      <c r="PVP2" s="415"/>
      <c r="PVQ2" s="415"/>
      <c r="PVR2" s="415"/>
      <c r="PVS2" s="415"/>
      <c r="PVT2" s="415"/>
      <c r="PVU2" s="415"/>
      <c r="PVV2" s="415"/>
      <c r="PVW2" s="415"/>
      <c r="PVX2" s="415"/>
      <c r="PVY2" s="415"/>
      <c r="PVZ2" s="415"/>
      <c r="PWA2" s="415"/>
      <c r="PWB2" s="415"/>
      <c r="PWC2" s="415"/>
      <c r="PWD2" s="415"/>
      <c r="PWE2" s="415"/>
      <c r="PWF2" s="415"/>
      <c r="PWG2" s="415"/>
      <c r="PWH2" s="415"/>
      <c r="PWI2" s="415"/>
      <c r="PWJ2" s="415"/>
      <c r="PWK2" s="415"/>
      <c r="PWL2" s="415"/>
      <c r="PWM2" s="415"/>
      <c r="PWN2" s="415"/>
      <c r="PWO2" s="415"/>
      <c r="PWP2" s="415"/>
      <c r="PWQ2" s="415"/>
      <c r="PWR2" s="415"/>
      <c r="PWS2" s="415"/>
      <c r="PWT2" s="415"/>
      <c r="PWU2" s="415"/>
      <c r="PWV2" s="415"/>
      <c r="PWW2" s="415"/>
      <c r="PWX2" s="415"/>
      <c r="PWY2" s="415"/>
      <c r="PWZ2" s="415"/>
      <c r="PXA2" s="415"/>
      <c r="PXB2" s="415"/>
      <c r="PXC2" s="415"/>
      <c r="PXD2" s="415"/>
      <c r="PXE2" s="415"/>
      <c r="PXF2" s="415"/>
      <c r="PXG2" s="415"/>
      <c r="PXH2" s="415"/>
      <c r="PXI2" s="415"/>
      <c r="PXJ2" s="415"/>
      <c r="PXK2" s="415"/>
      <c r="PXL2" s="415"/>
      <c r="PXM2" s="415"/>
      <c r="PXN2" s="415"/>
      <c r="PXO2" s="415"/>
      <c r="PXP2" s="415"/>
      <c r="PXQ2" s="415"/>
      <c r="PXR2" s="415"/>
      <c r="PXS2" s="415"/>
      <c r="PXT2" s="415"/>
      <c r="PXU2" s="415"/>
      <c r="PXV2" s="415"/>
      <c r="PXW2" s="415"/>
      <c r="PXX2" s="415"/>
      <c r="PXY2" s="415"/>
      <c r="PXZ2" s="415"/>
      <c r="PYA2" s="415"/>
      <c r="PYB2" s="415"/>
      <c r="PYC2" s="415"/>
      <c r="PYD2" s="415"/>
      <c r="PYE2" s="415"/>
      <c r="PYF2" s="415"/>
      <c r="PYG2" s="415"/>
      <c r="PYH2" s="415"/>
      <c r="PYI2" s="415"/>
      <c r="PYJ2" s="415"/>
      <c r="PYK2" s="415"/>
      <c r="PYL2" s="415"/>
      <c r="PYM2" s="415"/>
      <c r="PYN2" s="415"/>
      <c r="PYO2" s="415"/>
      <c r="PYP2" s="415"/>
      <c r="PYQ2" s="415"/>
      <c r="PYR2" s="415"/>
      <c r="PYS2" s="415"/>
      <c r="PYT2" s="415"/>
      <c r="PYU2" s="415"/>
      <c r="PYV2" s="415"/>
      <c r="PYW2" s="415"/>
      <c r="PYX2" s="415"/>
      <c r="PYY2" s="415"/>
      <c r="PYZ2" s="415"/>
      <c r="PZA2" s="415"/>
      <c r="PZB2" s="415"/>
      <c r="PZC2" s="415"/>
      <c r="PZD2" s="415"/>
      <c r="PZE2" s="415"/>
      <c r="PZF2" s="415"/>
      <c r="PZG2" s="415"/>
      <c r="PZH2" s="415"/>
      <c r="PZI2" s="415"/>
      <c r="PZJ2" s="415"/>
      <c r="PZK2" s="415"/>
      <c r="PZL2" s="415"/>
      <c r="PZM2" s="415"/>
      <c r="PZN2" s="415"/>
      <c r="PZO2" s="415"/>
      <c r="PZP2" s="415"/>
      <c r="PZQ2" s="415"/>
      <c r="PZR2" s="415"/>
      <c r="PZS2" s="415"/>
      <c r="PZT2" s="415"/>
      <c r="PZU2" s="415"/>
      <c r="PZV2" s="415"/>
      <c r="PZW2" s="415"/>
      <c r="PZX2" s="415"/>
      <c r="PZY2" s="415"/>
      <c r="PZZ2" s="415"/>
      <c r="QAA2" s="415"/>
      <c r="QAB2" s="415"/>
      <c r="QAC2" s="415"/>
      <c r="QAD2" s="415"/>
      <c r="QAE2" s="415"/>
      <c r="QAF2" s="415"/>
      <c r="QAG2" s="415"/>
      <c r="QAH2" s="415"/>
      <c r="QAI2" s="415"/>
      <c r="QAJ2" s="415"/>
      <c r="QAK2" s="415"/>
      <c r="QAL2" s="415"/>
      <c r="QAM2" s="415"/>
      <c r="QAN2" s="415"/>
      <c r="QAO2" s="415"/>
      <c r="QAP2" s="415"/>
      <c r="QAQ2" s="415"/>
      <c r="QAR2" s="415"/>
      <c r="QAS2" s="415"/>
      <c r="QAT2" s="415"/>
      <c r="QAU2" s="415"/>
      <c r="QAV2" s="415"/>
      <c r="QAW2" s="415"/>
      <c r="QAX2" s="415"/>
      <c r="QAY2" s="415"/>
      <c r="QAZ2" s="415"/>
      <c r="QBA2" s="415"/>
      <c r="QBB2" s="415"/>
      <c r="QBC2" s="415"/>
      <c r="QBD2" s="415"/>
      <c r="QBE2" s="415"/>
      <c r="QBF2" s="415"/>
      <c r="QBG2" s="415"/>
      <c r="QBH2" s="415"/>
      <c r="QBI2" s="415"/>
      <c r="QBJ2" s="415"/>
      <c r="QBK2" s="415"/>
      <c r="QBL2" s="415"/>
      <c r="QBM2" s="415"/>
      <c r="QBN2" s="415"/>
      <c r="QBO2" s="415"/>
      <c r="QBP2" s="415"/>
      <c r="QBQ2" s="415"/>
      <c r="QBR2" s="415"/>
      <c r="QBS2" s="415"/>
      <c r="QBT2" s="415"/>
      <c r="QBU2" s="415"/>
      <c r="QBV2" s="415"/>
      <c r="QBW2" s="415"/>
      <c r="QBX2" s="415"/>
      <c r="QBY2" s="415"/>
      <c r="QBZ2" s="415"/>
      <c r="QCA2" s="415"/>
      <c r="QCB2" s="415"/>
      <c r="QCC2" s="415"/>
      <c r="QCD2" s="415"/>
      <c r="QCE2" s="415"/>
      <c r="QCF2" s="415"/>
      <c r="QCG2" s="415"/>
      <c r="QCH2" s="415"/>
      <c r="QCI2" s="415"/>
      <c r="QCJ2" s="415"/>
      <c r="QCK2" s="415"/>
      <c r="QCL2" s="415"/>
      <c r="QCM2" s="415"/>
      <c r="QCN2" s="415"/>
      <c r="QCO2" s="415"/>
      <c r="QCP2" s="415"/>
      <c r="QCQ2" s="415"/>
      <c r="QCR2" s="415"/>
      <c r="QCS2" s="415"/>
      <c r="QCT2" s="415"/>
      <c r="QCU2" s="415"/>
      <c r="QCV2" s="415"/>
      <c r="QCW2" s="415"/>
      <c r="QCX2" s="415"/>
      <c r="QCY2" s="415"/>
      <c r="QCZ2" s="415"/>
      <c r="QDA2" s="415"/>
      <c r="QDB2" s="415"/>
      <c r="QDC2" s="415"/>
      <c r="QDD2" s="415"/>
      <c r="QDE2" s="415"/>
      <c r="QDF2" s="415"/>
      <c r="QDG2" s="415"/>
      <c r="QDH2" s="415"/>
      <c r="QDI2" s="415"/>
      <c r="QDJ2" s="415"/>
      <c r="QDK2" s="415"/>
      <c r="QDL2" s="415"/>
      <c r="QDM2" s="415"/>
      <c r="QDN2" s="415"/>
      <c r="QDO2" s="415"/>
      <c r="QDP2" s="415"/>
      <c r="QDQ2" s="415"/>
      <c r="QDR2" s="415"/>
      <c r="QDS2" s="415"/>
      <c r="QDT2" s="415"/>
      <c r="QDU2" s="415"/>
      <c r="QDV2" s="415"/>
      <c r="QDW2" s="415"/>
      <c r="QDX2" s="415"/>
      <c r="QDY2" s="415"/>
      <c r="QDZ2" s="415"/>
      <c r="QEA2" s="415"/>
      <c r="QEB2" s="415"/>
      <c r="QEC2" s="415"/>
      <c r="QED2" s="415"/>
      <c r="QEE2" s="415"/>
      <c r="QEF2" s="415"/>
      <c r="QEG2" s="415"/>
      <c r="QEH2" s="415"/>
      <c r="QEI2" s="415"/>
      <c r="QEJ2" s="415"/>
      <c r="QEK2" s="415"/>
      <c r="QEL2" s="415"/>
      <c r="QEM2" s="415"/>
      <c r="QEN2" s="415"/>
      <c r="QEO2" s="415"/>
      <c r="QEP2" s="415"/>
      <c r="QEQ2" s="415"/>
      <c r="QER2" s="415"/>
      <c r="QES2" s="415"/>
      <c r="QET2" s="415"/>
      <c r="QEU2" s="415"/>
      <c r="QEV2" s="415"/>
      <c r="QEW2" s="415"/>
      <c r="QEX2" s="415"/>
      <c r="QEY2" s="415"/>
      <c r="QEZ2" s="415"/>
      <c r="QFA2" s="415"/>
      <c r="QFB2" s="415"/>
      <c r="QFC2" s="415"/>
      <c r="QFD2" s="415"/>
      <c r="QFE2" s="415"/>
      <c r="QFF2" s="415"/>
      <c r="QFG2" s="415"/>
      <c r="QFH2" s="415"/>
      <c r="QFI2" s="415"/>
      <c r="QFJ2" s="415"/>
      <c r="QFK2" s="415"/>
      <c r="QFL2" s="415"/>
      <c r="QFM2" s="415"/>
      <c r="QFN2" s="415"/>
      <c r="QFO2" s="415"/>
      <c r="QFP2" s="415"/>
      <c r="QFQ2" s="415"/>
      <c r="QFR2" s="415"/>
      <c r="QFS2" s="415"/>
      <c r="QFT2" s="415"/>
      <c r="QFU2" s="415"/>
      <c r="QFV2" s="415"/>
      <c r="QFW2" s="415"/>
      <c r="QFX2" s="415"/>
      <c r="QFY2" s="415"/>
      <c r="QFZ2" s="415"/>
      <c r="QGA2" s="415"/>
      <c r="QGB2" s="415"/>
      <c r="QGC2" s="415"/>
      <c r="QGD2" s="415"/>
      <c r="QGE2" s="415"/>
      <c r="QGF2" s="415"/>
      <c r="QGG2" s="415"/>
      <c r="QGH2" s="415"/>
      <c r="QGI2" s="415"/>
      <c r="QGJ2" s="415"/>
      <c r="QGK2" s="415"/>
      <c r="QGL2" s="415"/>
      <c r="QGM2" s="415"/>
      <c r="QGN2" s="415"/>
      <c r="QGO2" s="415"/>
      <c r="QGP2" s="415"/>
      <c r="QGQ2" s="415"/>
      <c r="QGR2" s="415"/>
      <c r="QGS2" s="415"/>
      <c r="QGT2" s="415"/>
      <c r="QGU2" s="415"/>
      <c r="QGV2" s="415"/>
      <c r="QGW2" s="415"/>
      <c r="QGX2" s="415"/>
      <c r="QGY2" s="415"/>
      <c r="QGZ2" s="415"/>
      <c r="QHA2" s="415"/>
      <c r="QHB2" s="415"/>
      <c r="QHC2" s="415"/>
      <c r="QHD2" s="415"/>
      <c r="QHE2" s="415"/>
      <c r="QHF2" s="415"/>
      <c r="QHG2" s="415"/>
      <c r="QHH2" s="415"/>
      <c r="QHI2" s="415"/>
      <c r="QHJ2" s="415"/>
      <c r="QHK2" s="415"/>
      <c r="QHL2" s="415"/>
      <c r="QHM2" s="415"/>
      <c r="QHN2" s="415"/>
      <c r="QHO2" s="415"/>
      <c r="QHP2" s="415"/>
      <c r="QHQ2" s="415"/>
      <c r="QHR2" s="415"/>
      <c r="QHS2" s="415"/>
      <c r="QHT2" s="415"/>
      <c r="QHU2" s="415"/>
      <c r="QHV2" s="415"/>
      <c r="QHW2" s="415"/>
      <c r="QHX2" s="415"/>
      <c r="QHY2" s="415"/>
      <c r="QHZ2" s="415"/>
      <c r="QIA2" s="415"/>
      <c r="QIB2" s="415"/>
      <c r="QIC2" s="415"/>
      <c r="QID2" s="415"/>
      <c r="QIE2" s="415"/>
      <c r="QIF2" s="415"/>
      <c r="QIG2" s="415"/>
      <c r="QIH2" s="415"/>
      <c r="QII2" s="415"/>
      <c r="QIJ2" s="415"/>
      <c r="QIK2" s="415"/>
      <c r="QIL2" s="415"/>
      <c r="QIM2" s="415"/>
      <c r="QIN2" s="415"/>
      <c r="QIO2" s="415"/>
      <c r="QIP2" s="415"/>
      <c r="QIQ2" s="415"/>
      <c r="QIR2" s="415"/>
      <c r="QIS2" s="415"/>
      <c r="QIT2" s="415"/>
      <c r="QIU2" s="415"/>
      <c r="QIV2" s="415"/>
      <c r="QIW2" s="415"/>
      <c r="QIX2" s="415"/>
      <c r="QIY2" s="415"/>
      <c r="QIZ2" s="415"/>
      <c r="QJA2" s="415"/>
      <c r="QJB2" s="415"/>
      <c r="QJC2" s="415"/>
      <c r="QJD2" s="415"/>
      <c r="QJE2" s="415"/>
      <c r="QJF2" s="415"/>
      <c r="QJG2" s="415"/>
      <c r="QJH2" s="415"/>
      <c r="QJI2" s="415"/>
      <c r="QJJ2" s="415"/>
      <c r="QJK2" s="415"/>
      <c r="QJL2" s="415"/>
      <c r="QJM2" s="415"/>
      <c r="QJN2" s="415"/>
      <c r="QJO2" s="415"/>
      <c r="QJP2" s="415"/>
      <c r="QJQ2" s="415"/>
      <c r="QJR2" s="415"/>
      <c r="QJS2" s="415"/>
      <c r="QJT2" s="415"/>
      <c r="QJU2" s="415"/>
      <c r="QJV2" s="415"/>
      <c r="QJW2" s="415"/>
      <c r="QJX2" s="415"/>
      <c r="QJY2" s="415"/>
      <c r="QJZ2" s="415"/>
      <c r="QKA2" s="415"/>
      <c r="QKB2" s="415"/>
      <c r="QKC2" s="415"/>
      <c r="QKD2" s="415"/>
      <c r="QKE2" s="415"/>
      <c r="QKF2" s="415"/>
      <c r="QKG2" s="415"/>
      <c r="QKH2" s="415"/>
      <c r="QKI2" s="415"/>
      <c r="QKJ2" s="415"/>
      <c r="QKK2" s="415"/>
      <c r="QKL2" s="415"/>
      <c r="QKM2" s="415"/>
      <c r="QKN2" s="415"/>
      <c r="QKO2" s="415"/>
      <c r="QKP2" s="415"/>
      <c r="QKQ2" s="415"/>
      <c r="QKR2" s="415"/>
      <c r="QKS2" s="415"/>
      <c r="QKT2" s="415"/>
      <c r="QKU2" s="415"/>
      <c r="QKV2" s="415"/>
      <c r="QKW2" s="415"/>
      <c r="QKX2" s="415"/>
      <c r="QKY2" s="415"/>
      <c r="QKZ2" s="415"/>
      <c r="QLA2" s="415"/>
      <c r="QLB2" s="415"/>
      <c r="QLC2" s="415"/>
      <c r="QLD2" s="415"/>
      <c r="QLE2" s="415"/>
      <c r="QLF2" s="415"/>
      <c r="QLG2" s="415"/>
      <c r="QLH2" s="415"/>
      <c r="QLI2" s="415"/>
      <c r="QLJ2" s="415"/>
      <c r="QLK2" s="415"/>
      <c r="QLL2" s="415"/>
      <c r="QLM2" s="415"/>
      <c r="QLN2" s="415"/>
      <c r="QLO2" s="415"/>
      <c r="QLP2" s="415"/>
      <c r="QLQ2" s="415"/>
      <c r="QLR2" s="415"/>
      <c r="QLS2" s="415"/>
      <c r="QLT2" s="415"/>
      <c r="QLU2" s="415"/>
      <c r="QLV2" s="415"/>
      <c r="QLW2" s="415"/>
      <c r="QLX2" s="415"/>
      <c r="QLY2" s="415"/>
      <c r="QLZ2" s="415"/>
      <c r="QMA2" s="415"/>
      <c r="QMB2" s="415"/>
      <c r="QMC2" s="415"/>
      <c r="QMD2" s="415"/>
      <c r="QME2" s="415"/>
      <c r="QMF2" s="415"/>
      <c r="QMG2" s="415"/>
      <c r="QMH2" s="415"/>
      <c r="QMI2" s="415"/>
      <c r="QMJ2" s="415"/>
      <c r="QMK2" s="415"/>
      <c r="QML2" s="415"/>
      <c r="QMM2" s="415"/>
      <c r="QMN2" s="415"/>
      <c r="QMO2" s="415"/>
      <c r="QMP2" s="415"/>
      <c r="QMQ2" s="415"/>
      <c r="QMR2" s="415"/>
      <c r="QMS2" s="415"/>
      <c r="QMT2" s="415"/>
      <c r="QMU2" s="415"/>
      <c r="QMV2" s="415"/>
      <c r="QMW2" s="415"/>
      <c r="QMX2" s="415"/>
      <c r="QMY2" s="415"/>
      <c r="QMZ2" s="415"/>
      <c r="QNA2" s="415"/>
      <c r="QNB2" s="415"/>
      <c r="QNC2" s="415"/>
      <c r="QND2" s="415"/>
      <c r="QNE2" s="415"/>
      <c r="QNF2" s="415"/>
      <c r="QNG2" s="415"/>
      <c r="QNH2" s="415"/>
      <c r="QNI2" s="415"/>
      <c r="QNJ2" s="415"/>
      <c r="QNK2" s="415"/>
      <c r="QNL2" s="415"/>
      <c r="QNM2" s="415"/>
      <c r="QNN2" s="415"/>
      <c r="QNO2" s="415"/>
      <c r="QNP2" s="415"/>
      <c r="QNQ2" s="415"/>
      <c r="QNR2" s="415"/>
      <c r="QNS2" s="415"/>
      <c r="QNT2" s="415"/>
      <c r="QNU2" s="415"/>
      <c r="QNV2" s="415"/>
      <c r="QNW2" s="415"/>
      <c r="QNX2" s="415"/>
      <c r="QNY2" s="415"/>
      <c r="QNZ2" s="415"/>
      <c r="QOA2" s="415"/>
      <c r="QOB2" s="415"/>
      <c r="QOC2" s="415"/>
      <c r="QOD2" s="415"/>
      <c r="QOE2" s="415"/>
      <c r="QOF2" s="415"/>
      <c r="QOG2" s="415"/>
      <c r="QOH2" s="415"/>
      <c r="QOI2" s="415"/>
      <c r="QOJ2" s="415"/>
      <c r="QOK2" s="415"/>
      <c r="QOL2" s="415"/>
      <c r="QOM2" s="415"/>
      <c r="QON2" s="415"/>
      <c r="QOO2" s="415"/>
      <c r="QOP2" s="415"/>
      <c r="QOQ2" s="415"/>
      <c r="QOR2" s="415"/>
      <c r="QOS2" s="415"/>
      <c r="QOT2" s="415"/>
      <c r="QOU2" s="415"/>
      <c r="QOV2" s="415"/>
      <c r="QOW2" s="415"/>
      <c r="QOX2" s="415"/>
      <c r="QOY2" s="415"/>
      <c r="QOZ2" s="415"/>
      <c r="QPA2" s="415"/>
      <c r="QPB2" s="415"/>
      <c r="QPC2" s="415"/>
      <c r="QPD2" s="415"/>
      <c r="QPE2" s="415"/>
      <c r="QPF2" s="415"/>
      <c r="QPG2" s="415"/>
      <c r="QPH2" s="415"/>
      <c r="QPI2" s="415"/>
      <c r="QPJ2" s="415"/>
      <c r="QPK2" s="415"/>
      <c r="QPL2" s="415"/>
      <c r="QPM2" s="415"/>
      <c r="QPN2" s="415"/>
      <c r="QPO2" s="415"/>
      <c r="QPP2" s="415"/>
      <c r="QPQ2" s="415"/>
      <c r="QPR2" s="415"/>
      <c r="QPS2" s="415"/>
      <c r="QPT2" s="415"/>
      <c r="QPU2" s="415"/>
      <c r="QPV2" s="415"/>
      <c r="QPW2" s="415"/>
      <c r="QPX2" s="415"/>
      <c r="QPY2" s="415"/>
      <c r="QPZ2" s="415"/>
      <c r="QQA2" s="415"/>
      <c r="QQB2" s="415"/>
      <c r="QQC2" s="415"/>
      <c r="QQD2" s="415"/>
      <c r="QQE2" s="415"/>
      <c r="QQF2" s="415"/>
      <c r="QQG2" s="415"/>
      <c r="QQH2" s="415"/>
      <c r="QQI2" s="415"/>
      <c r="QQJ2" s="415"/>
      <c r="QQK2" s="415"/>
      <c r="QQL2" s="415"/>
      <c r="QQM2" s="415"/>
      <c r="QQN2" s="415"/>
      <c r="QQO2" s="415"/>
      <c r="QQP2" s="415"/>
      <c r="QQQ2" s="415"/>
      <c r="QQR2" s="415"/>
      <c r="QQS2" s="415"/>
      <c r="QQT2" s="415"/>
      <c r="QQU2" s="415"/>
      <c r="QQV2" s="415"/>
      <c r="QQW2" s="415"/>
      <c r="QQX2" s="415"/>
      <c r="QQY2" s="415"/>
      <c r="QQZ2" s="415"/>
      <c r="QRA2" s="415"/>
      <c r="QRB2" s="415"/>
      <c r="QRC2" s="415"/>
      <c r="QRD2" s="415"/>
      <c r="QRE2" s="415"/>
      <c r="QRF2" s="415"/>
      <c r="QRG2" s="415"/>
      <c r="QRH2" s="415"/>
      <c r="QRI2" s="415"/>
      <c r="QRJ2" s="415"/>
      <c r="QRK2" s="415"/>
      <c r="QRL2" s="415"/>
      <c r="QRM2" s="415"/>
      <c r="QRN2" s="415"/>
      <c r="QRO2" s="415"/>
      <c r="QRP2" s="415"/>
      <c r="QRQ2" s="415"/>
      <c r="QRR2" s="415"/>
      <c r="QRS2" s="415"/>
      <c r="QRT2" s="415"/>
      <c r="QRU2" s="415"/>
      <c r="QRV2" s="415"/>
      <c r="QRW2" s="415"/>
      <c r="QRX2" s="415"/>
      <c r="QRY2" s="415"/>
      <c r="QRZ2" s="415"/>
      <c r="QSA2" s="415"/>
      <c r="QSB2" s="415"/>
      <c r="QSC2" s="415"/>
      <c r="QSD2" s="415"/>
      <c r="QSE2" s="415"/>
      <c r="QSF2" s="415"/>
      <c r="QSG2" s="415"/>
      <c r="QSH2" s="415"/>
      <c r="QSI2" s="415"/>
      <c r="QSJ2" s="415"/>
      <c r="QSK2" s="415"/>
      <c r="QSL2" s="415"/>
      <c r="QSM2" s="415"/>
      <c r="QSN2" s="415"/>
      <c r="QSO2" s="415"/>
      <c r="QSP2" s="415"/>
      <c r="QSQ2" s="415"/>
      <c r="QSR2" s="415"/>
      <c r="QSS2" s="415"/>
      <c r="QST2" s="415"/>
      <c r="QSU2" s="415"/>
      <c r="QSV2" s="415"/>
      <c r="QSW2" s="415"/>
      <c r="QSX2" s="415"/>
      <c r="QSY2" s="415"/>
      <c r="QSZ2" s="415"/>
      <c r="QTA2" s="415"/>
      <c r="QTB2" s="415"/>
      <c r="QTC2" s="415"/>
      <c r="QTD2" s="415"/>
      <c r="QTE2" s="415"/>
      <c r="QTF2" s="415"/>
      <c r="QTG2" s="415"/>
      <c r="QTH2" s="415"/>
      <c r="QTI2" s="415"/>
      <c r="QTJ2" s="415"/>
      <c r="QTK2" s="415"/>
      <c r="QTL2" s="415"/>
      <c r="QTM2" s="415"/>
      <c r="QTN2" s="415"/>
      <c r="QTO2" s="415"/>
      <c r="QTP2" s="415"/>
      <c r="QTQ2" s="415"/>
      <c r="QTR2" s="415"/>
      <c r="QTS2" s="415"/>
      <c r="QTT2" s="415"/>
      <c r="QTU2" s="415"/>
      <c r="QTV2" s="415"/>
      <c r="QTW2" s="415"/>
      <c r="QTX2" s="415"/>
      <c r="QTY2" s="415"/>
      <c r="QTZ2" s="415"/>
      <c r="QUA2" s="415"/>
      <c r="QUB2" s="415"/>
      <c r="QUC2" s="415"/>
      <c r="QUD2" s="415"/>
      <c r="QUE2" s="415"/>
      <c r="QUF2" s="415"/>
      <c r="QUG2" s="415"/>
      <c r="QUH2" s="415"/>
      <c r="QUI2" s="415"/>
      <c r="QUJ2" s="415"/>
      <c r="QUK2" s="415"/>
      <c r="QUL2" s="415"/>
      <c r="QUM2" s="415"/>
      <c r="QUN2" s="415"/>
      <c r="QUO2" s="415"/>
      <c r="QUP2" s="415"/>
      <c r="QUQ2" s="415"/>
      <c r="QUR2" s="415"/>
      <c r="QUS2" s="415"/>
      <c r="QUT2" s="415"/>
      <c r="QUU2" s="415"/>
      <c r="QUV2" s="415"/>
      <c r="QUW2" s="415"/>
      <c r="QUX2" s="415"/>
      <c r="QUY2" s="415"/>
      <c r="QUZ2" s="415"/>
      <c r="QVA2" s="415"/>
      <c r="QVB2" s="415"/>
      <c r="QVC2" s="415"/>
      <c r="QVD2" s="415"/>
      <c r="QVE2" s="415"/>
      <c r="QVF2" s="415"/>
      <c r="QVG2" s="415"/>
      <c r="QVH2" s="415"/>
      <c r="QVI2" s="415"/>
      <c r="QVJ2" s="415"/>
      <c r="QVK2" s="415"/>
      <c r="QVL2" s="415"/>
      <c r="QVM2" s="415"/>
      <c r="QVN2" s="415"/>
      <c r="QVO2" s="415"/>
      <c r="QVP2" s="415"/>
      <c r="QVQ2" s="415"/>
      <c r="QVR2" s="415"/>
      <c r="QVS2" s="415"/>
      <c r="QVT2" s="415"/>
      <c r="QVU2" s="415"/>
      <c r="QVV2" s="415"/>
      <c r="QVW2" s="415"/>
      <c r="QVX2" s="415"/>
      <c r="QVY2" s="415"/>
      <c r="QVZ2" s="415"/>
      <c r="QWA2" s="415"/>
      <c r="QWB2" s="415"/>
      <c r="QWC2" s="415"/>
      <c r="QWD2" s="415"/>
      <c r="QWE2" s="415"/>
      <c r="QWF2" s="415"/>
      <c r="QWG2" s="415"/>
      <c r="QWH2" s="415"/>
      <c r="QWI2" s="415"/>
      <c r="QWJ2" s="415"/>
      <c r="QWK2" s="415"/>
      <c r="QWL2" s="415"/>
      <c r="QWM2" s="415"/>
      <c r="QWN2" s="415"/>
      <c r="QWO2" s="415"/>
      <c r="QWP2" s="415"/>
      <c r="QWQ2" s="415"/>
      <c r="QWR2" s="415"/>
      <c r="QWS2" s="415"/>
      <c r="QWT2" s="415"/>
      <c r="QWU2" s="415"/>
      <c r="QWV2" s="415"/>
      <c r="QWW2" s="415"/>
      <c r="QWX2" s="415"/>
      <c r="QWY2" s="415"/>
      <c r="QWZ2" s="415"/>
      <c r="QXA2" s="415"/>
      <c r="QXB2" s="415"/>
      <c r="QXC2" s="415"/>
      <c r="QXD2" s="415"/>
      <c r="QXE2" s="415"/>
      <c r="QXF2" s="415"/>
      <c r="QXG2" s="415"/>
      <c r="QXH2" s="415"/>
      <c r="QXI2" s="415"/>
      <c r="QXJ2" s="415"/>
      <c r="QXK2" s="415"/>
      <c r="QXL2" s="415"/>
      <c r="QXM2" s="415"/>
      <c r="QXN2" s="415"/>
      <c r="QXO2" s="415"/>
      <c r="QXP2" s="415"/>
      <c r="QXQ2" s="415"/>
      <c r="QXR2" s="415"/>
      <c r="QXS2" s="415"/>
      <c r="QXT2" s="415"/>
      <c r="QXU2" s="415"/>
      <c r="QXV2" s="415"/>
      <c r="QXW2" s="415"/>
      <c r="QXX2" s="415"/>
      <c r="QXY2" s="415"/>
      <c r="QXZ2" s="415"/>
      <c r="QYA2" s="415"/>
      <c r="QYB2" s="415"/>
      <c r="QYC2" s="415"/>
      <c r="QYD2" s="415"/>
      <c r="QYE2" s="415"/>
      <c r="QYF2" s="415"/>
      <c r="QYG2" s="415"/>
      <c r="QYH2" s="415"/>
      <c r="QYI2" s="415"/>
      <c r="QYJ2" s="415"/>
      <c r="QYK2" s="415"/>
      <c r="QYL2" s="415"/>
      <c r="QYM2" s="415"/>
      <c r="QYN2" s="415"/>
      <c r="QYO2" s="415"/>
      <c r="QYP2" s="415"/>
      <c r="QYQ2" s="415"/>
      <c r="QYR2" s="415"/>
      <c r="QYS2" s="415"/>
      <c r="QYT2" s="415"/>
      <c r="QYU2" s="415"/>
      <c r="QYV2" s="415"/>
      <c r="QYW2" s="415"/>
      <c r="QYX2" s="415"/>
      <c r="QYY2" s="415"/>
      <c r="QYZ2" s="415"/>
      <c r="QZA2" s="415"/>
      <c r="QZB2" s="415"/>
      <c r="QZC2" s="415"/>
      <c r="QZD2" s="415"/>
      <c r="QZE2" s="415"/>
      <c r="QZF2" s="415"/>
      <c r="QZG2" s="415"/>
      <c r="QZH2" s="415"/>
      <c r="QZI2" s="415"/>
      <c r="QZJ2" s="415"/>
      <c r="QZK2" s="415"/>
      <c r="QZL2" s="415"/>
      <c r="QZM2" s="415"/>
      <c r="QZN2" s="415"/>
      <c r="QZO2" s="415"/>
      <c r="QZP2" s="415"/>
      <c r="QZQ2" s="415"/>
      <c r="QZR2" s="415"/>
      <c r="QZS2" s="415"/>
      <c r="QZT2" s="415"/>
      <c r="QZU2" s="415"/>
      <c r="QZV2" s="415"/>
      <c r="QZW2" s="415"/>
      <c r="QZX2" s="415"/>
      <c r="QZY2" s="415"/>
      <c r="QZZ2" s="415"/>
      <c r="RAA2" s="415"/>
      <c r="RAB2" s="415"/>
      <c r="RAC2" s="415"/>
      <c r="RAD2" s="415"/>
      <c r="RAE2" s="415"/>
      <c r="RAF2" s="415"/>
      <c r="RAG2" s="415"/>
      <c r="RAH2" s="415"/>
      <c r="RAI2" s="415"/>
      <c r="RAJ2" s="415"/>
      <c r="RAK2" s="415"/>
      <c r="RAL2" s="415"/>
      <c r="RAM2" s="415"/>
      <c r="RAN2" s="415"/>
      <c r="RAO2" s="415"/>
      <c r="RAP2" s="415"/>
      <c r="RAQ2" s="415"/>
      <c r="RAR2" s="415"/>
      <c r="RAS2" s="415"/>
      <c r="RAT2" s="415"/>
      <c r="RAU2" s="415"/>
      <c r="RAV2" s="415"/>
      <c r="RAW2" s="415"/>
      <c r="RAX2" s="415"/>
      <c r="RAY2" s="415"/>
      <c r="RAZ2" s="415"/>
      <c r="RBA2" s="415"/>
      <c r="RBB2" s="415"/>
      <c r="RBC2" s="415"/>
      <c r="RBD2" s="415"/>
      <c r="RBE2" s="415"/>
      <c r="RBF2" s="415"/>
      <c r="RBG2" s="415"/>
      <c r="RBH2" s="415"/>
      <c r="RBI2" s="415"/>
      <c r="RBJ2" s="415"/>
      <c r="RBK2" s="415"/>
      <c r="RBL2" s="415"/>
      <c r="RBM2" s="415"/>
      <c r="RBN2" s="415"/>
      <c r="RBO2" s="415"/>
      <c r="RBP2" s="415"/>
      <c r="RBQ2" s="415"/>
      <c r="RBR2" s="415"/>
      <c r="RBS2" s="415"/>
      <c r="RBT2" s="415"/>
      <c r="RBU2" s="415"/>
      <c r="RBV2" s="415"/>
      <c r="RBW2" s="415"/>
      <c r="RBX2" s="415"/>
      <c r="RBY2" s="415"/>
      <c r="RBZ2" s="415"/>
      <c r="RCA2" s="415"/>
      <c r="RCB2" s="415"/>
      <c r="RCC2" s="415"/>
      <c r="RCD2" s="415"/>
      <c r="RCE2" s="415"/>
      <c r="RCF2" s="415"/>
      <c r="RCG2" s="415"/>
      <c r="RCH2" s="415"/>
      <c r="RCI2" s="415"/>
      <c r="RCJ2" s="415"/>
      <c r="RCK2" s="415"/>
      <c r="RCL2" s="415"/>
      <c r="RCM2" s="415"/>
      <c r="RCN2" s="415"/>
      <c r="RCO2" s="415"/>
      <c r="RCP2" s="415"/>
      <c r="RCQ2" s="415"/>
      <c r="RCR2" s="415"/>
      <c r="RCS2" s="415"/>
      <c r="RCT2" s="415"/>
      <c r="RCU2" s="415"/>
      <c r="RCV2" s="415"/>
      <c r="RCW2" s="415"/>
      <c r="RCX2" s="415"/>
      <c r="RCY2" s="415"/>
      <c r="RCZ2" s="415"/>
      <c r="RDA2" s="415"/>
      <c r="RDB2" s="415"/>
      <c r="RDC2" s="415"/>
      <c r="RDD2" s="415"/>
      <c r="RDE2" s="415"/>
      <c r="RDF2" s="415"/>
      <c r="RDG2" s="415"/>
      <c r="RDH2" s="415"/>
      <c r="RDI2" s="415"/>
      <c r="RDJ2" s="415"/>
      <c r="RDK2" s="415"/>
      <c r="RDL2" s="415"/>
      <c r="RDM2" s="415"/>
      <c r="RDN2" s="415"/>
      <c r="RDO2" s="415"/>
      <c r="RDP2" s="415"/>
      <c r="RDQ2" s="415"/>
      <c r="RDR2" s="415"/>
      <c r="RDS2" s="415"/>
      <c r="RDT2" s="415"/>
      <c r="RDU2" s="415"/>
      <c r="RDV2" s="415"/>
      <c r="RDW2" s="415"/>
      <c r="RDX2" s="415"/>
      <c r="RDY2" s="415"/>
      <c r="RDZ2" s="415"/>
      <c r="REA2" s="415"/>
      <c r="REB2" s="415"/>
      <c r="REC2" s="415"/>
      <c r="RED2" s="415"/>
      <c r="REE2" s="415"/>
      <c r="REF2" s="415"/>
      <c r="REG2" s="415"/>
      <c r="REH2" s="415"/>
      <c r="REI2" s="415"/>
      <c r="REJ2" s="415"/>
      <c r="REK2" s="415"/>
      <c r="REL2" s="415"/>
      <c r="REM2" s="415"/>
      <c r="REN2" s="415"/>
      <c r="REO2" s="415"/>
      <c r="REP2" s="415"/>
      <c r="REQ2" s="415"/>
      <c r="RER2" s="415"/>
      <c r="RES2" s="415"/>
      <c r="RET2" s="415"/>
      <c r="REU2" s="415"/>
      <c r="REV2" s="415"/>
      <c r="REW2" s="415"/>
      <c r="REX2" s="415"/>
      <c r="REY2" s="415"/>
      <c r="REZ2" s="415"/>
      <c r="RFA2" s="415"/>
      <c r="RFB2" s="415"/>
      <c r="RFC2" s="415"/>
      <c r="RFD2" s="415"/>
      <c r="RFE2" s="415"/>
      <c r="RFF2" s="415"/>
      <c r="RFG2" s="415"/>
      <c r="RFH2" s="415"/>
      <c r="RFI2" s="415"/>
      <c r="RFJ2" s="415"/>
      <c r="RFK2" s="415"/>
      <c r="RFL2" s="415"/>
      <c r="RFM2" s="415"/>
      <c r="RFN2" s="415"/>
      <c r="RFO2" s="415"/>
      <c r="RFP2" s="415"/>
      <c r="RFQ2" s="415"/>
      <c r="RFR2" s="415"/>
      <c r="RFS2" s="415"/>
      <c r="RFT2" s="415"/>
      <c r="RFU2" s="415"/>
      <c r="RFV2" s="415"/>
      <c r="RFW2" s="415"/>
      <c r="RFX2" s="415"/>
      <c r="RFY2" s="415"/>
      <c r="RFZ2" s="415"/>
      <c r="RGA2" s="415"/>
      <c r="RGB2" s="415"/>
      <c r="RGC2" s="415"/>
      <c r="RGD2" s="415"/>
      <c r="RGE2" s="415"/>
      <c r="RGF2" s="415"/>
      <c r="RGG2" s="415"/>
      <c r="RGH2" s="415"/>
      <c r="RGI2" s="415"/>
      <c r="RGJ2" s="415"/>
      <c r="RGK2" s="415"/>
      <c r="RGL2" s="415"/>
      <c r="RGM2" s="415"/>
      <c r="RGN2" s="415"/>
      <c r="RGO2" s="415"/>
      <c r="RGP2" s="415"/>
      <c r="RGQ2" s="415"/>
      <c r="RGR2" s="415"/>
      <c r="RGS2" s="415"/>
      <c r="RGT2" s="415"/>
      <c r="RGU2" s="415"/>
      <c r="RGV2" s="415"/>
      <c r="RGW2" s="415"/>
      <c r="RGX2" s="415"/>
      <c r="RGY2" s="415"/>
      <c r="RGZ2" s="415"/>
      <c r="RHA2" s="415"/>
      <c r="RHB2" s="415"/>
      <c r="RHC2" s="415"/>
      <c r="RHD2" s="415"/>
      <c r="RHE2" s="415"/>
      <c r="RHF2" s="415"/>
      <c r="RHG2" s="415"/>
      <c r="RHH2" s="415"/>
      <c r="RHI2" s="415"/>
      <c r="RHJ2" s="415"/>
      <c r="RHK2" s="415"/>
      <c r="RHL2" s="415"/>
      <c r="RHM2" s="415"/>
      <c r="RHN2" s="415"/>
      <c r="RHO2" s="415"/>
      <c r="RHP2" s="415"/>
      <c r="RHQ2" s="415"/>
      <c r="RHR2" s="415"/>
      <c r="RHS2" s="415"/>
      <c r="RHT2" s="415"/>
      <c r="RHU2" s="415"/>
      <c r="RHV2" s="415"/>
      <c r="RHW2" s="415"/>
      <c r="RHX2" s="415"/>
      <c r="RHY2" s="415"/>
      <c r="RHZ2" s="415"/>
      <c r="RIA2" s="415"/>
      <c r="RIB2" s="415"/>
      <c r="RIC2" s="415"/>
      <c r="RID2" s="415"/>
      <c r="RIE2" s="415"/>
      <c r="RIF2" s="415"/>
      <c r="RIG2" s="415"/>
      <c r="RIH2" s="415"/>
      <c r="RII2" s="415"/>
      <c r="RIJ2" s="415"/>
      <c r="RIK2" s="415"/>
      <c r="RIL2" s="415"/>
      <c r="RIM2" s="415"/>
      <c r="RIN2" s="415"/>
      <c r="RIO2" s="415"/>
      <c r="RIP2" s="415"/>
      <c r="RIQ2" s="415"/>
      <c r="RIR2" s="415"/>
      <c r="RIS2" s="415"/>
      <c r="RIT2" s="415"/>
      <c r="RIU2" s="415"/>
      <c r="RIV2" s="415"/>
      <c r="RIW2" s="415"/>
      <c r="RIX2" s="415"/>
      <c r="RIY2" s="415"/>
      <c r="RIZ2" s="415"/>
      <c r="RJA2" s="415"/>
      <c r="RJB2" s="415"/>
      <c r="RJC2" s="415"/>
      <c r="RJD2" s="415"/>
      <c r="RJE2" s="415"/>
      <c r="RJF2" s="415"/>
      <c r="RJG2" s="415"/>
      <c r="RJH2" s="415"/>
      <c r="RJI2" s="415"/>
      <c r="RJJ2" s="415"/>
      <c r="RJK2" s="415"/>
      <c r="RJL2" s="415"/>
      <c r="RJM2" s="415"/>
      <c r="RJN2" s="415"/>
      <c r="RJO2" s="415"/>
      <c r="RJP2" s="415"/>
      <c r="RJQ2" s="415"/>
      <c r="RJR2" s="415"/>
      <c r="RJS2" s="415"/>
      <c r="RJT2" s="415"/>
      <c r="RJU2" s="415"/>
      <c r="RJV2" s="415"/>
      <c r="RJW2" s="415"/>
      <c r="RJX2" s="415"/>
      <c r="RJY2" s="415"/>
      <c r="RJZ2" s="415"/>
      <c r="RKA2" s="415"/>
      <c r="RKB2" s="415"/>
      <c r="RKC2" s="415"/>
      <c r="RKD2" s="415"/>
      <c r="RKE2" s="415"/>
      <c r="RKF2" s="415"/>
      <c r="RKG2" s="415"/>
      <c r="RKH2" s="415"/>
      <c r="RKI2" s="415"/>
      <c r="RKJ2" s="415"/>
      <c r="RKK2" s="415"/>
      <c r="RKL2" s="415"/>
      <c r="RKM2" s="415"/>
      <c r="RKN2" s="415"/>
      <c r="RKO2" s="415"/>
      <c r="RKP2" s="415"/>
      <c r="RKQ2" s="415"/>
      <c r="RKR2" s="415"/>
      <c r="RKS2" s="415"/>
      <c r="RKT2" s="415"/>
      <c r="RKU2" s="415"/>
      <c r="RKV2" s="415"/>
      <c r="RKW2" s="415"/>
      <c r="RKX2" s="415"/>
      <c r="RKY2" s="415"/>
      <c r="RKZ2" s="415"/>
      <c r="RLA2" s="415"/>
      <c r="RLB2" s="415"/>
      <c r="RLC2" s="415"/>
      <c r="RLD2" s="415"/>
      <c r="RLE2" s="415"/>
      <c r="RLF2" s="415"/>
      <c r="RLG2" s="415"/>
      <c r="RLH2" s="415"/>
      <c r="RLI2" s="415"/>
      <c r="RLJ2" s="415"/>
      <c r="RLK2" s="415"/>
      <c r="RLL2" s="415"/>
      <c r="RLM2" s="415"/>
      <c r="RLN2" s="415"/>
      <c r="RLO2" s="415"/>
      <c r="RLP2" s="415"/>
      <c r="RLQ2" s="415"/>
      <c r="RLR2" s="415"/>
      <c r="RLS2" s="415"/>
      <c r="RLT2" s="415"/>
      <c r="RLU2" s="415"/>
      <c r="RLV2" s="415"/>
      <c r="RLW2" s="415"/>
      <c r="RLX2" s="415"/>
      <c r="RLY2" s="415"/>
      <c r="RLZ2" s="415"/>
      <c r="RMA2" s="415"/>
      <c r="RMB2" s="415"/>
      <c r="RMC2" s="415"/>
      <c r="RMD2" s="415"/>
      <c r="RME2" s="415"/>
      <c r="RMF2" s="415"/>
      <c r="RMG2" s="415"/>
      <c r="RMH2" s="415"/>
      <c r="RMI2" s="415"/>
      <c r="RMJ2" s="415"/>
      <c r="RMK2" s="415"/>
      <c r="RML2" s="415"/>
      <c r="RMM2" s="415"/>
      <c r="RMN2" s="415"/>
      <c r="RMO2" s="415"/>
      <c r="RMP2" s="415"/>
      <c r="RMQ2" s="415"/>
      <c r="RMR2" s="415"/>
      <c r="RMS2" s="415"/>
      <c r="RMT2" s="415"/>
      <c r="RMU2" s="415"/>
      <c r="RMV2" s="415"/>
      <c r="RMW2" s="415"/>
      <c r="RMX2" s="415"/>
      <c r="RMY2" s="415"/>
      <c r="RMZ2" s="415"/>
      <c r="RNA2" s="415"/>
      <c r="RNB2" s="415"/>
      <c r="RNC2" s="415"/>
      <c r="RND2" s="415"/>
      <c r="RNE2" s="415"/>
      <c r="RNF2" s="415"/>
      <c r="RNG2" s="415"/>
      <c r="RNH2" s="415"/>
      <c r="RNI2" s="415"/>
      <c r="RNJ2" s="415"/>
      <c r="RNK2" s="415"/>
      <c r="RNL2" s="415"/>
      <c r="RNM2" s="415"/>
      <c r="RNN2" s="415"/>
      <c r="RNO2" s="415"/>
      <c r="RNP2" s="415"/>
      <c r="RNQ2" s="415"/>
      <c r="RNR2" s="415"/>
      <c r="RNS2" s="415"/>
      <c r="RNT2" s="415"/>
      <c r="RNU2" s="415"/>
      <c r="RNV2" s="415"/>
      <c r="RNW2" s="415"/>
      <c r="RNX2" s="415"/>
      <c r="RNY2" s="415"/>
      <c r="RNZ2" s="415"/>
      <c r="ROA2" s="415"/>
      <c r="ROB2" s="415"/>
      <c r="ROC2" s="415"/>
      <c r="ROD2" s="415"/>
      <c r="ROE2" s="415"/>
      <c r="ROF2" s="415"/>
      <c r="ROG2" s="415"/>
      <c r="ROH2" s="415"/>
      <c r="ROI2" s="415"/>
      <c r="ROJ2" s="415"/>
      <c r="ROK2" s="415"/>
      <c r="ROL2" s="415"/>
      <c r="ROM2" s="415"/>
      <c r="RON2" s="415"/>
      <c r="ROO2" s="415"/>
      <c r="ROP2" s="415"/>
      <c r="ROQ2" s="415"/>
      <c r="ROR2" s="415"/>
      <c r="ROS2" s="415"/>
      <c r="ROT2" s="415"/>
      <c r="ROU2" s="415"/>
      <c r="ROV2" s="415"/>
      <c r="ROW2" s="415"/>
      <c r="ROX2" s="415"/>
      <c r="ROY2" s="415"/>
      <c r="ROZ2" s="415"/>
      <c r="RPA2" s="415"/>
      <c r="RPB2" s="415"/>
      <c r="RPC2" s="415"/>
      <c r="RPD2" s="415"/>
      <c r="RPE2" s="415"/>
      <c r="RPF2" s="415"/>
      <c r="RPG2" s="415"/>
      <c r="RPH2" s="415"/>
      <c r="RPI2" s="415"/>
      <c r="RPJ2" s="415"/>
      <c r="RPK2" s="415"/>
      <c r="RPL2" s="415"/>
      <c r="RPM2" s="415"/>
      <c r="RPN2" s="415"/>
      <c r="RPO2" s="415"/>
      <c r="RPP2" s="415"/>
      <c r="RPQ2" s="415"/>
      <c r="RPR2" s="415"/>
      <c r="RPS2" s="415"/>
      <c r="RPT2" s="415"/>
      <c r="RPU2" s="415"/>
      <c r="RPV2" s="415"/>
      <c r="RPW2" s="415"/>
      <c r="RPX2" s="415"/>
      <c r="RPY2" s="415"/>
      <c r="RPZ2" s="415"/>
      <c r="RQA2" s="415"/>
      <c r="RQB2" s="415"/>
      <c r="RQC2" s="415"/>
      <c r="RQD2" s="415"/>
      <c r="RQE2" s="415"/>
      <c r="RQF2" s="415"/>
      <c r="RQG2" s="415"/>
      <c r="RQH2" s="415"/>
      <c r="RQI2" s="415"/>
      <c r="RQJ2" s="415"/>
      <c r="RQK2" s="415"/>
      <c r="RQL2" s="415"/>
      <c r="RQM2" s="415"/>
      <c r="RQN2" s="415"/>
      <c r="RQO2" s="415"/>
      <c r="RQP2" s="415"/>
      <c r="RQQ2" s="415"/>
      <c r="RQR2" s="415"/>
      <c r="RQS2" s="415"/>
      <c r="RQT2" s="415"/>
      <c r="RQU2" s="415"/>
      <c r="RQV2" s="415"/>
      <c r="RQW2" s="415"/>
      <c r="RQX2" s="415"/>
      <c r="RQY2" s="415"/>
      <c r="RQZ2" s="415"/>
      <c r="RRA2" s="415"/>
      <c r="RRB2" s="415"/>
      <c r="RRC2" s="415"/>
      <c r="RRD2" s="415"/>
      <c r="RRE2" s="415"/>
      <c r="RRF2" s="415"/>
      <c r="RRG2" s="415"/>
      <c r="RRH2" s="415"/>
      <c r="RRI2" s="415"/>
      <c r="RRJ2" s="415"/>
      <c r="RRK2" s="415"/>
      <c r="RRL2" s="415"/>
      <c r="RRM2" s="415"/>
      <c r="RRN2" s="415"/>
      <c r="RRO2" s="415"/>
      <c r="RRP2" s="415"/>
      <c r="RRQ2" s="415"/>
      <c r="RRR2" s="415"/>
      <c r="RRS2" s="415"/>
      <c r="RRT2" s="415"/>
      <c r="RRU2" s="415"/>
      <c r="RRV2" s="415"/>
      <c r="RRW2" s="415"/>
      <c r="RRX2" s="415"/>
      <c r="RRY2" s="415"/>
      <c r="RRZ2" s="415"/>
      <c r="RSA2" s="415"/>
      <c r="RSB2" s="415"/>
      <c r="RSC2" s="415"/>
      <c r="RSD2" s="415"/>
      <c r="RSE2" s="415"/>
      <c r="RSF2" s="415"/>
      <c r="RSG2" s="415"/>
      <c r="RSH2" s="415"/>
      <c r="RSI2" s="415"/>
      <c r="RSJ2" s="415"/>
      <c r="RSK2" s="415"/>
      <c r="RSL2" s="415"/>
      <c r="RSM2" s="415"/>
      <c r="RSN2" s="415"/>
      <c r="RSO2" s="415"/>
      <c r="RSP2" s="415"/>
      <c r="RSQ2" s="415"/>
      <c r="RSR2" s="415"/>
      <c r="RSS2" s="415"/>
      <c r="RST2" s="415"/>
      <c r="RSU2" s="415"/>
      <c r="RSV2" s="415"/>
      <c r="RSW2" s="415"/>
      <c r="RSX2" s="415"/>
      <c r="RSY2" s="415"/>
      <c r="RSZ2" s="415"/>
      <c r="RTA2" s="415"/>
      <c r="RTB2" s="415"/>
      <c r="RTC2" s="415"/>
      <c r="RTD2" s="415"/>
      <c r="RTE2" s="415"/>
      <c r="RTF2" s="415"/>
      <c r="RTG2" s="415"/>
      <c r="RTH2" s="415"/>
      <c r="RTI2" s="415"/>
      <c r="RTJ2" s="415"/>
      <c r="RTK2" s="415"/>
      <c r="RTL2" s="415"/>
      <c r="RTM2" s="415"/>
      <c r="RTN2" s="415"/>
      <c r="RTO2" s="415"/>
      <c r="RTP2" s="415"/>
      <c r="RTQ2" s="415"/>
      <c r="RTR2" s="415"/>
      <c r="RTS2" s="415"/>
      <c r="RTT2" s="415"/>
      <c r="RTU2" s="415"/>
      <c r="RTV2" s="415"/>
      <c r="RTW2" s="415"/>
      <c r="RTX2" s="415"/>
      <c r="RTY2" s="415"/>
      <c r="RTZ2" s="415"/>
      <c r="RUA2" s="415"/>
      <c r="RUB2" s="415"/>
      <c r="RUC2" s="415"/>
      <c r="RUD2" s="415"/>
      <c r="RUE2" s="415"/>
      <c r="RUF2" s="415"/>
      <c r="RUG2" s="415"/>
      <c r="RUH2" s="415"/>
      <c r="RUI2" s="415"/>
      <c r="RUJ2" s="415"/>
      <c r="RUK2" s="415"/>
      <c r="RUL2" s="415"/>
      <c r="RUM2" s="415"/>
      <c r="RUN2" s="415"/>
      <c r="RUO2" s="415"/>
      <c r="RUP2" s="415"/>
      <c r="RUQ2" s="415"/>
      <c r="RUR2" s="415"/>
      <c r="RUS2" s="415"/>
      <c r="RUT2" s="415"/>
      <c r="RUU2" s="415"/>
      <c r="RUV2" s="415"/>
      <c r="RUW2" s="415"/>
      <c r="RUX2" s="415"/>
      <c r="RUY2" s="415"/>
      <c r="RUZ2" s="415"/>
      <c r="RVA2" s="415"/>
      <c r="RVB2" s="415"/>
      <c r="RVC2" s="415"/>
      <c r="RVD2" s="415"/>
      <c r="RVE2" s="415"/>
      <c r="RVF2" s="415"/>
      <c r="RVG2" s="415"/>
      <c r="RVH2" s="415"/>
      <c r="RVI2" s="415"/>
      <c r="RVJ2" s="415"/>
      <c r="RVK2" s="415"/>
      <c r="RVL2" s="415"/>
      <c r="RVM2" s="415"/>
      <c r="RVN2" s="415"/>
      <c r="RVO2" s="415"/>
      <c r="RVP2" s="415"/>
      <c r="RVQ2" s="415"/>
      <c r="RVR2" s="415"/>
      <c r="RVS2" s="415"/>
      <c r="RVT2" s="415"/>
      <c r="RVU2" s="415"/>
      <c r="RVV2" s="415"/>
      <c r="RVW2" s="415"/>
      <c r="RVX2" s="415"/>
      <c r="RVY2" s="415"/>
      <c r="RVZ2" s="415"/>
      <c r="RWA2" s="415"/>
      <c r="RWB2" s="415"/>
      <c r="RWC2" s="415"/>
      <c r="RWD2" s="415"/>
      <c r="RWE2" s="415"/>
      <c r="RWF2" s="415"/>
      <c r="RWG2" s="415"/>
      <c r="RWH2" s="415"/>
      <c r="RWI2" s="415"/>
      <c r="RWJ2" s="415"/>
      <c r="RWK2" s="415"/>
      <c r="RWL2" s="415"/>
      <c r="RWM2" s="415"/>
      <c r="RWN2" s="415"/>
      <c r="RWO2" s="415"/>
      <c r="RWP2" s="415"/>
      <c r="RWQ2" s="415"/>
      <c r="RWR2" s="415"/>
      <c r="RWS2" s="415"/>
      <c r="RWT2" s="415"/>
      <c r="RWU2" s="415"/>
      <c r="RWV2" s="415"/>
      <c r="RWW2" s="415"/>
      <c r="RWX2" s="415"/>
      <c r="RWY2" s="415"/>
      <c r="RWZ2" s="415"/>
      <c r="RXA2" s="415"/>
      <c r="RXB2" s="415"/>
      <c r="RXC2" s="415"/>
      <c r="RXD2" s="415"/>
      <c r="RXE2" s="415"/>
      <c r="RXF2" s="415"/>
      <c r="RXG2" s="415"/>
      <c r="RXH2" s="415"/>
      <c r="RXI2" s="415"/>
      <c r="RXJ2" s="415"/>
      <c r="RXK2" s="415"/>
      <c r="RXL2" s="415"/>
      <c r="RXM2" s="415"/>
      <c r="RXN2" s="415"/>
      <c r="RXO2" s="415"/>
      <c r="RXP2" s="415"/>
      <c r="RXQ2" s="415"/>
      <c r="RXR2" s="415"/>
      <c r="RXS2" s="415"/>
      <c r="RXT2" s="415"/>
      <c r="RXU2" s="415"/>
      <c r="RXV2" s="415"/>
      <c r="RXW2" s="415"/>
      <c r="RXX2" s="415"/>
      <c r="RXY2" s="415"/>
      <c r="RXZ2" s="415"/>
      <c r="RYA2" s="415"/>
      <c r="RYB2" s="415"/>
      <c r="RYC2" s="415"/>
      <c r="RYD2" s="415"/>
      <c r="RYE2" s="415"/>
      <c r="RYF2" s="415"/>
      <c r="RYG2" s="415"/>
      <c r="RYH2" s="415"/>
      <c r="RYI2" s="415"/>
      <c r="RYJ2" s="415"/>
      <c r="RYK2" s="415"/>
      <c r="RYL2" s="415"/>
      <c r="RYM2" s="415"/>
      <c r="RYN2" s="415"/>
      <c r="RYO2" s="415"/>
      <c r="RYP2" s="415"/>
      <c r="RYQ2" s="415"/>
      <c r="RYR2" s="415"/>
      <c r="RYS2" s="415"/>
      <c r="RYT2" s="415"/>
      <c r="RYU2" s="415"/>
      <c r="RYV2" s="415"/>
      <c r="RYW2" s="415"/>
      <c r="RYX2" s="415"/>
      <c r="RYY2" s="415"/>
      <c r="RYZ2" s="415"/>
      <c r="RZA2" s="415"/>
      <c r="RZB2" s="415"/>
      <c r="RZC2" s="415"/>
      <c r="RZD2" s="415"/>
      <c r="RZE2" s="415"/>
      <c r="RZF2" s="415"/>
      <c r="RZG2" s="415"/>
      <c r="RZH2" s="415"/>
      <c r="RZI2" s="415"/>
      <c r="RZJ2" s="415"/>
      <c r="RZK2" s="415"/>
      <c r="RZL2" s="415"/>
      <c r="RZM2" s="415"/>
      <c r="RZN2" s="415"/>
      <c r="RZO2" s="415"/>
      <c r="RZP2" s="415"/>
      <c r="RZQ2" s="415"/>
      <c r="RZR2" s="415"/>
      <c r="RZS2" s="415"/>
      <c r="RZT2" s="415"/>
      <c r="RZU2" s="415"/>
      <c r="RZV2" s="415"/>
      <c r="RZW2" s="415"/>
      <c r="RZX2" s="415"/>
      <c r="RZY2" s="415"/>
      <c r="RZZ2" s="415"/>
      <c r="SAA2" s="415"/>
      <c r="SAB2" s="415"/>
      <c r="SAC2" s="415"/>
      <c r="SAD2" s="415"/>
      <c r="SAE2" s="415"/>
      <c r="SAF2" s="415"/>
      <c r="SAG2" s="415"/>
      <c r="SAH2" s="415"/>
      <c r="SAI2" s="415"/>
      <c r="SAJ2" s="415"/>
      <c r="SAK2" s="415"/>
      <c r="SAL2" s="415"/>
      <c r="SAM2" s="415"/>
      <c r="SAN2" s="415"/>
      <c r="SAO2" s="415"/>
      <c r="SAP2" s="415"/>
      <c r="SAQ2" s="415"/>
      <c r="SAR2" s="415"/>
      <c r="SAS2" s="415"/>
      <c r="SAT2" s="415"/>
      <c r="SAU2" s="415"/>
      <c r="SAV2" s="415"/>
      <c r="SAW2" s="415"/>
      <c r="SAX2" s="415"/>
      <c r="SAY2" s="415"/>
      <c r="SAZ2" s="415"/>
      <c r="SBA2" s="415"/>
      <c r="SBB2" s="415"/>
      <c r="SBC2" s="415"/>
      <c r="SBD2" s="415"/>
      <c r="SBE2" s="415"/>
      <c r="SBF2" s="415"/>
      <c r="SBG2" s="415"/>
      <c r="SBH2" s="415"/>
      <c r="SBI2" s="415"/>
      <c r="SBJ2" s="415"/>
      <c r="SBK2" s="415"/>
      <c r="SBL2" s="415"/>
      <c r="SBM2" s="415"/>
      <c r="SBN2" s="415"/>
      <c r="SBO2" s="415"/>
      <c r="SBP2" s="415"/>
      <c r="SBQ2" s="415"/>
      <c r="SBR2" s="415"/>
      <c r="SBS2" s="415"/>
      <c r="SBT2" s="415"/>
      <c r="SBU2" s="415"/>
      <c r="SBV2" s="415"/>
      <c r="SBW2" s="415"/>
      <c r="SBX2" s="415"/>
      <c r="SBY2" s="415"/>
      <c r="SBZ2" s="415"/>
      <c r="SCA2" s="415"/>
      <c r="SCB2" s="415"/>
      <c r="SCC2" s="415"/>
      <c r="SCD2" s="415"/>
      <c r="SCE2" s="415"/>
      <c r="SCF2" s="415"/>
      <c r="SCG2" s="415"/>
      <c r="SCH2" s="415"/>
      <c r="SCI2" s="415"/>
      <c r="SCJ2" s="415"/>
      <c r="SCK2" s="415"/>
      <c r="SCL2" s="415"/>
      <c r="SCM2" s="415"/>
      <c r="SCN2" s="415"/>
      <c r="SCO2" s="415"/>
      <c r="SCP2" s="415"/>
      <c r="SCQ2" s="415"/>
      <c r="SCR2" s="415"/>
      <c r="SCS2" s="415"/>
      <c r="SCT2" s="415"/>
      <c r="SCU2" s="415"/>
      <c r="SCV2" s="415"/>
      <c r="SCW2" s="415"/>
      <c r="SCX2" s="415"/>
      <c r="SCY2" s="415"/>
      <c r="SCZ2" s="415"/>
      <c r="SDA2" s="415"/>
      <c r="SDB2" s="415"/>
      <c r="SDC2" s="415"/>
      <c r="SDD2" s="415"/>
      <c r="SDE2" s="415"/>
      <c r="SDF2" s="415"/>
      <c r="SDG2" s="415"/>
      <c r="SDH2" s="415"/>
      <c r="SDI2" s="415"/>
      <c r="SDJ2" s="415"/>
      <c r="SDK2" s="415"/>
      <c r="SDL2" s="415"/>
      <c r="SDM2" s="415"/>
      <c r="SDN2" s="415"/>
      <c r="SDO2" s="415"/>
      <c r="SDP2" s="415"/>
      <c r="SDQ2" s="415"/>
      <c r="SDR2" s="415"/>
      <c r="SDS2" s="415"/>
      <c r="SDT2" s="415"/>
      <c r="SDU2" s="415"/>
      <c r="SDV2" s="415"/>
      <c r="SDW2" s="415"/>
      <c r="SDX2" s="415"/>
      <c r="SDY2" s="415"/>
      <c r="SDZ2" s="415"/>
      <c r="SEA2" s="415"/>
      <c r="SEB2" s="415"/>
      <c r="SEC2" s="415"/>
      <c r="SED2" s="415"/>
      <c r="SEE2" s="415"/>
      <c r="SEF2" s="415"/>
      <c r="SEG2" s="415"/>
      <c r="SEH2" s="415"/>
      <c r="SEI2" s="415"/>
      <c r="SEJ2" s="415"/>
      <c r="SEK2" s="415"/>
      <c r="SEL2" s="415"/>
      <c r="SEM2" s="415"/>
      <c r="SEN2" s="415"/>
      <c r="SEO2" s="415"/>
      <c r="SEP2" s="415"/>
      <c r="SEQ2" s="415"/>
      <c r="SER2" s="415"/>
      <c r="SES2" s="415"/>
      <c r="SET2" s="415"/>
      <c r="SEU2" s="415"/>
      <c r="SEV2" s="415"/>
      <c r="SEW2" s="415"/>
      <c r="SEX2" s="415"/>
      <c r="SEY2" s="415"/>
      <c r="SEZ2" s="415"/>
      <c r="SFA2" s="415"/>
      <c r="SFB2" s="415"/>
      <c r="SFC2" s="415"/>
      <c r="SFD2" s="415"/>
      <c r="SFE2" s="415"/>
      <c r="SFF2" s="415"/>
      <c r="SFG2" s="415"/>
      <c r="SFH2" s="415"/>
      <c r="SFI2" s="415"/>
      <c r="SFJ2" s="415"/>
      <c r="SFK2" s="415"/>
      <c r="SFL2" s="415"/>
      <c r="SFM2" s="415"/>
      <c r="SFN2" s="415"/>
      <c r="SFO2" s="415"/>
      <c r="SFP2" s="415"/>
      <c r="SFQ2" s="415"/>
      <c r="SFR2" s="415"/>
      <c r="SFS2" s="415"/>
      <c r="SFT2" s="415"/>
      <c r="SFU2" s="415"/>
      <c r="SFV2" s="415"/>
      <c r="SFW2" s="415"/>
      <c r="SFX2" s="415"/>
      <c r="SFY2" s="415"/>
      <c r="SFZ2" s="415"/>
      <c r="SGA2" s="415"/>
      <c r="SGB2" s="415"/>
      <c r="SGC2" s="415"/>
      <c r="SGD2" s="415"/>
      <c r="SGE2" s="415"/>
      <c r="SGF2" s="415"/>
      <c r="SGG2" s="415"/>
      <c r="SGH2" s="415"/>
      <c r="SGI2" s="415"/>
      <c r="SGJ2" s="415"/>
      <c r="SGK2" s="415"/>
      <c r="SGL2" s="415"/>
      <c r="SGM2" s="415"/>
      <c r="SGN2" s="415"/>
      <c r="SGO2" s="415"/>
      <c r="SGP2" s="415"/>
      <c r="SGQ2" s="415"/>
      <c r="SGR2" s="415"/>
      <c r="SGS2" s="415"/>
      <c r="SGT2" s="415"/>
      <c r="SGU2" s="415"/>
      <c r="SGV2" s="415"/>
      <c r="SGW2" s="415"/>
      <c r="SGX2" s="415"/>
      <c r="SGY2" s="415"/>
      <c r="SGZ2" s="415"/>
      <c r="SHA2" s="415"/>
      <c r="SHB2" s="415"/>
      <c r="SHC2" s="415"/>
      <c r="SHD2" s="415"/>
      <c r="SHE2" s="415"/>
      <c r="SHF2" s="415"/>
      <c r="SHG2" s="415"/>
      <c r="SHH2" s="415"/>
      <c r="SHI2" s="415"/>
      <c r="SHJ2" s="415"/>
      <c r="SHK2" s="415"/>
      <c r="SHL2" s="415"/>
      <c r="SHM2" s="415"/>
      <c r="SHN2" s="415"/>
      <c r="SHO2" s="415"/>
      <c r="SHP2" s="415"/>
      <c r="SHQ2" s="415"/>
      <c r="SHR2" s="415"/>
      <c r="SHS2" s="415"/>
      <c r="SHT2" s="415"/>
      <c r="SHU2" s="415"/>
      <c r="SHV2" s="415"/>
      <c r="SHW2" s="415"/>
      <c r="SHX2" s="415"/>
      <c r="SHY2" s="415"/>
      <c r="SHZ2" s="415"/>
      <c r="SIA2" s="415"/>
      <c r="SIB2" s="415"/>
      <c r="SIC2" s="415"/>
      <c r="SID2" s="415"/>
      <c r="SIE2" s="415"/>
      <c r="SIF2" s="415"/>
      <c r="SIG2" s="415"/>
      <c r="SIH2" s="415"/>
      <c r="SII2" s="415"/>
      <c r="SIJ2" s="415"/>
      <c r="SIK2" s="415"/>
      <c r="SIL2" s="415"/>
      <c r="SIM2" s="415"/>
      <c r="SIN2" s="415"/>
      <c r="SIO2" s="415"/>
      <c r="SIP2" s="415"/>
      <c r="SIQ2" s="415"/>
      <c r="SIR2" s="415"/>
      <c r="SIS2" s="415"/>
      <c r="SIT2" s="415"/>
      <c r="SIU2" s="415"/>
      <c r="SIV2" s="415"/>
      <c r="SIW2" s="415"/>
      <c r="SIX2" s="415"/>
      <c r="SIY2" s="415"/>
      <c r="SIZ2" s="415"/>
      <c r="SJA2" s="415"/>
      <c r="SJB2" s="415"/>
      <c r="SJC2" s="415"/>
      <c r="SJD2" s="415"/>
      <c r="SJE2" s="415"/>
      <c r="SJF2" s="415"/>
      <c r="SJG2" s="415"/>
      <c r="SJH2" s="415"/>
      <c r="SJI2" s="415"/>
      <c r="SJJ2" s="415"/>
      <c r="SJK2" s="415"/>
      <c r="SJL2" s="415"/>
      <c r="SJM2" s="415"/>
      <c r="SJN2" s="415"/>
      <c r="SJO2" s="415"/>
      <c r="SJP2" s="415"/>
      <c r="SJQ2" s="415"/>
      <c r="SJR2" s="415"/>
      <c r="SJS2" s="415"/>
      <c r="SJT2" s="415"/>
      <c r="SJU2" s="415"/>
      <c r="SJV2" s="415"/>
      <c r="SJW2" s="415"/>
      <c r="SJX2" s="415"/>
      <c r="SJY2" s="415"/>
      <c r="SJZ2" s="415"/>
      <c r="SKA2" s="415"/>
      <c r="SKB2" s="415"/>
      <c r="SKC2" s="415"/>
      <c r="SKD2" s="415"/>
      <c r="SKE2" s="415"/>
      <c r="SKF2" s="415"/>
      <c r="SKG2" s="415"/>
      <c r="SKH2" s="415"/>
      <c r="SKI2" s="415"/>
      <c r="SKJ2" s="415"/>
      <c r="SKK2" s="415"/>
      <c r="SKL2" s="415"/>
      <c r="SKM2" s="415"/>
      <c r="SKN2" s="415"/>
      <c r="SKO2" s="415"/>
      <c r="SKP2" s="415"/>
      <c r="SKQ2" s="415"/>
      <c r="SKR2" s="415"/>
      <c r="SKS2" s="415"/>
      <c r="SKT2" s="415"/>
      <c r="SKU2" s="415"/>
      <c r="SKV2" s="415"/>
      <c r="SKW2" s="415"/>
      <c r="SKX2" s="415"/>
      <c r="SKY2" s="415"/>
      <c r="SKZ2" s="415"/>
      <c r="SLA2" s="415"/>
      <c r="SLB2" s="415"/>
      <c r="SLC2" s="415"/>
      <c r="SLD2" s="415"/>
      <c r="SLE2" s="415"/>
      <c r="SLF2" s="415"/>
      <c r="SLG2" s="415"/>
      <c r="SLH2" s="415"/>
      <c r="SLI2" s="415"/>
      <c r="SLJ2" s="415"/>
      <c r="SLK2" s="415"/>
      <c r="SLL2" s="415"/>
      <c r="SLM2" s="415"/>
      <c r="SLN2" s="415"/>
      <c r="SLO2" s="415"/>
      <c r="SLP2" s="415"/>
      <c r="SLQ2" s="415"/>
      <c r="SLR2" s="415"/>
      <c r="SLS2" s="415"/>
      <c r="SLT2" s="415"/>
      <c r="SLU2" s="415"/>
      <c r="SLV2" s="415"/>
      <c r="SLW2" s="415"/>
      <c r="SLX2" s="415"/>
      <c r="SLY2" s="415"/>
      <c r="SLZ2" s="415"/>
      <c r="SMA2" s="415"/>
      <c r="SMB2" s="415"/>
      <c r="SMC2" s="415"/>
      <c r="SMD2" s="415"/>
      <c r="SME2" s="415"/>
      <c r="SMF2" s="415"/>
      <c r="SMG2" s="415"/>
      <c r="SMH2" s="415"/>
      <c r="SMI2" s="415"/>
      <c r="SMJ2" s="415"/>
      <c r="SMK2" s="415"/>
      <c r="SML2" s="415"/>
      <c r="SMM2" s="415"/>
      <c r="SMN2" s="415"/>
      <c r="SMO2" s="415"/>
      <c r="SMP2" s="415"/>
      <c r="SMQ2" s="415"/>
      <c r="SMR2" s="415"/>
      <c r="SMS2" s="415"/>
      <c r="SMT2" s="415"/>
      <c r="SMU2" s="415"/>
      <c r="SMV2" s="415"/>
      <c r="SMW2" s="415"/>
      <c r="SMX2" s="415"/>
      <c r="SMY2" s="415"/>
      <c r="SMZ2" s="415"/>
      <c r="SNA2" s="415"/>
      <c r="SNB2" s="415"/>
      <c r="SNC2" s="415"/>
      <c r="SND2" s="415"/>
      <c r="SNE2" s="415"/>
      <c r="SNF2" s="415"/>
      <c r="SNG2" s="415"/>
      <c r="SNH2" s="415"/>
      <c r="SNI2" s="415"/>
      <c r="SNJ2" s="415"/>
      <c r="SNK2" s="415"/>
      <c r="SNL2" s="415"/>
      <c r="SNM2" s="415"/>
      <c r="SNN2" s="415"/>
      <c r="SNO2" s="415"/>
      <c r="SNP2" s="415"/>
      <c r="SNQ2" s="415"/>
      <c r="SNR2" s="415"/>
      <c r="SNS2" s="415"/>
      <c r="SNT2" s="415"/>
      <c r="SNU2" s="415"/>
      <c r="SNV2" s="415"/>
      <c r="SNW2" s="415"/>
      <c r="SNX2" s="415"/>
      <c r="SNY2" s="415"/>
      <c r="SNZ2" s="415"/>
      <c r="SOA2" s="415"/>
      <c r="SOB2" s="415"/>
      <c r="SOC2" s="415"/>
      <c r="SOD2" s="415"/>
      <c r="SOE2" s="415"/>
      <c r="SOF2" s="415"/>
      <c r="SOG2" s="415"/>
      <c r="SOH2" s="415"/>
      <c r="SOI2" s="415"/>
      <c r="SOJ2" s="415"/>
      <c r="SOK2" s="415"/>
      <c r="SOL2" s="415"/>
      <c r="SOM2" s="415"/>
      <c r="SON2" s="415"/>
      <c r="SOO2" s="415"/>
      <c r="SOP2" s="415"/>
      <c r="SOQ2" s="415"/>
      <c r="SOR2" s="415"/>
      <c r="SOS2" s="415"/>
      <c r="SOT2" s="415"/>
      <c r="SOU2" s="415"/>
      <c r="SOV2" s="415"/>
      <c r="SOW2" s="415"/>
      <c r="SOX2" s="415"/>
      <c r="SOY2" s="415"/>
      <c r="SOZ2" s="415"/>
      <c r="SPA2" s="415"/>
      <c r="SPB2" s="415"/>
      <c r="SPC2" s="415"/>
      <c r="SPD2" s="415"/>
      <c r="SPE2" s="415"/>
      <c r="SPF2" s="415"/>
      <c r="SPG2" s="415"/>
      <c r="SPH2" s="415"/>
      <c r="SPI2" s="415"/>
      <c r="SPJ2" s="415"/>
      <c r="SPK2" s="415"/>
      <c r="SPL2" s="415"/>
      <c r="SPM2" s="415"/>
      <c r="SPN2" s="415"/>
      <c r="SPO2" s="415"/>
      <c r="SPP2" s="415"/>
      <c r="SPQ2" s="415"/>
      <c r="SPR2" s="415"/>
      <c r="SPS2" s="415"/>
      <c r="SPT2" s="415"/>
      <c r="SPU2" s="415"/>
      <c r="SPV2" s="415"/>
      <c r="SPW2" s="415"/>
      <c r="SPX2" s="415"/>
      <c r="SPY2" s="415"/>
      <c r="SPZ2" s="415"/>
      <c r="SQA2" s="415"/>
      <c r="SQB2" s="415"/>
      <c r="SQC2" s="415"/>
      <c r="SQD2" s="415"/>
      <c r="SQE2" s="415"/>
      <c r="SQF2" s="415"/>
      <c r="SQG2" s="415"/>
      <c r="SQH2" s="415"/>
      <c r="SQI2" s="415"/>
      <c r="SQJ2" s="415"/>
      <c r="SQK2" s="415"/>
      <c r="SQL2" s="415"/>
      <c r="SQM2" s="415"/>
      <c r="SQN2" s="415"/>
      <c r="SQO2" s="415"/>
      <c r="SQP2" s="415"/>
      <c r="SQQ2" s="415"/>
      <c r="SQR2" s="415"/>
      <c r="SQS2" s="415"/>
      <c r="SQT2" s="415"/>
      <c r="SQU2" s="415"/>
      <c r="SQV2" s="415"/>
      <c r="SQW2" s="415"/>
      <c r="SQX2" s="415"/>
      <c r="SQY2" s="415"/>
      <c r="SQZ2" s="415"/>
      <c r="SRA2" s="415"/>
      <c r="SRB2" s="415"/>
      <c r="SRC2" s="415"/>
      <c r="SRD2" s="415"/>
      <c r="SRE2" s="415"/>
      <c r="SRF2" s="415"/>
      <c r="SRG2" s="415"/>
      <c r="SRH2" s="415"/>
      <c r="SRI2" s="415"/>
      <c r="SRJ2" s="415"/>
      <c r="SRK2" s="415"/>
      <c r="SRL2" s="415"/>
      <c r="SRM2" s="415"/>
      <c r="SRN2" s="415"/>
      <c r="SRO2" s="415"/>
      <c r="SRP2" s="415"/>
      <c r="SRQ2" s="415"/>
      <c r="SRR2" s="415"/>
      <c r="SRS2" s="415"/>
      <c r="SRT2" s="415"/>
      <c r="SRU2" s="415"/>
      <c r="SRV2" s="415"/>
      <c r="SRW2" s="415"/>
      <c r="SRX2" s="415"/>
      <c r="SRY2" s="415"/>
      <c r="SRZ2" s="415"/>
      <c r="SSA2" s="415"/>
      <c r="SSB2" s="415"/>
      <c r="SSC2" s="415"/>
      <c r="SSD2" s="415"/>
      <c r="SSE2" s="415"/>
      <c r="SSF2" s="415"/>
      <c r="SSG2" s="415"/>
      <c r="SSH2" s="415"/>
      <c r="SSI2" s="415"/>
      <c r="SSJ2" s="415"/>
      <c r="SSK2" s="415"/>
      <c r="SSL2" s="415"/>
      <c r="SSM2" s="415"/>
      <c r="SSN2" s="415"/>
      <c r="SSO2" s="415"/>
      <c r="SSP2" s="415"/>
      <c r="SSQ2" s="415"/>
      <c r="SSR2" s="415"/>
      <c r="SSS2" s="415"/>
      <c r="SST2" s="415"/>
      <c r="SSU2" s="415"/>
      <c r="SSV2" s="415"/>
      <c r="SSW2" s="415"/>
      <c r="SSX2" s="415"/>
      <c r="SSY2" s="415"/>
      <c r="SSZ2" s="415"/>
      <c r="STA2" s="415"/>
      <c r="STB2" s="415"/>
      <c r="STC2" s="415"/>
      <c r="STD2" s="415"/>
      <c r="STE2" s="415"/>
      <c r="STF2" s="415"/>
      <c r="STG2" s="415"/>
      <c r="STH2" s="415"/>
      <c r="STI2" s="415"/>
      <c r="STJ2" s="415"/>
      <c r="STK2" s="415"/>
      <c r="STL2" s="415"/>
      <c r="STM2" s="415"/>
      <c r="STN2" s="415"/>
      <c r="STO2" s="415"/>
      <c r="STP2" s="415"/>
      <c r="STQ2" s="415"/>
      <c r="STR2" s="415"/>
      <c r="STS2" s="415"/>
      <c r="STT2" s="415"/>
      <c r="STU2" s="415"/>
      <c r="STV2" s="415"/>
      <c r="STW2" s="415"/>
      <c r="STX2" s="415"/>
      <c r="STY2" s="415"/>
      <c r="STZ2" s="415"/>
      <c r="SUA2" s="415"/>
      <c r="SUB2" s="415"/>
      <c r="SUC2" s="415"/>
      <c r="SUD2" s="415"/>
      <c r="SUE2" s="415"/>
      <c r="SUF2" s="415"/>
      <c r="SUG2" s="415"/>
      <c r="SUH2" s="415"/>
      <c r="SUI2" s="415"/>
      <c r="SUJ2" s="415"/>
      <c r="SUK2" s="415"/>
      <c r="SUL2" s="415"/>
      <c r="SUM2" s="415"/>
      <c r="SUN2" s="415"/>
      <c r="SUO2" s="415"/>
      <c r="SUP2" s="415"/>
      <c r="SUQ2" s="415"/>
      <c r="SUR2" s="415"/>
      <c r="SUS2" s="415"/>
      <c r="SUT2" s="415"/>
      <c r="SUU2" s="415"/>
      <c r="SUV2" s="415"/>
      <c r="SUW2" s="415"/>
      <c r="SUX2" s="415"/>
      <c r="SUY2" s="415"/>
      <c r="SUZ2" s="415"/>
      <c r="SVA2" s="415"/>
      <c r="SVB2" s="415"/>
      <c r="SVC2" s="415"/>
      <c r="SVD2" s="415"/>
      <c r="SVE2" s="415"/>
      <c r="SVF2" s="415"/>
      <c r="SVG2" s="415"/>
      <c r="SVH2" s="415"/>
      <c r="SVI2" s="415"/>
      <c r="SVJ2" s="415"/>
      <c r="SVK2" s="415"/>
      <c r="SVL2" s="415"/>
      <c r="SVM2" s="415"/>
      <c r="SVN2" s="415"/>
      <c r="SVO2" s="415"/>
      <c r="SVP2" s="415"/>
      <c r="SVQ2" s="415"/>
      <c r="SVR2" s="415"/>
      <c r="SVS2" s="415"/>
      <c r="SVT2" s="415"/>
      <c r="SVU2" s="415"/>
      <c r="SVV2" s="415"/>
      <c r="SVW2" s="415"/>
      <c r="SVX2" s="415"/>
      <c r="SVY2" s="415"/>
      <c r="SVZ2" s="415"/>
      <c r="SWA2" s="415"/>
      <c r="SWB2" s="415"/>
      <c r="SWC2" s="415"/>
      <c r="SWD2" s="415"/>
      <c r="SWE2" s="415"/>
      <c r="SWF2" s="415"/>
      <c r="SWG2" s="415"/>
      <c r="SWH2" s="415"/>
      <c r="SWI2" s="415"/>
      <c r="SWJ2" s="415"/>
      <c r="SWK2" s="415"/>
      <c r="SWL2" s="415"/>
      <c r="SWM2" s="415"/>
      <c r="SWN2" s="415"/>
      <c r="SWO2" s="415"/>
      <c r="SWP2" s="415"/>
      <c r="SWQ2" s="415"/>
      <c r="SWR2" s="415"/>
      <c r="SWS2" s="415"/>
      <c r="SWT2" s="415"/>
      <c r="SWU2" s="415"/>
      <c r="SWV2" s="415"/>
      <c r="SWW2" s="415"/>
      <c r="SWX2" s="415"/>
      <c r="SWY2" s="415"/>
      <c r="SWZ2" s="415"/>
      <c r="SXA2" s="415"/>
      <c r="SXB2" s="415"/>
      <c r="SXC2" s="415"/>
      <c r="SXD2" s="415"/>
      <c r="SXE2" s="415"/>
      <c r="SXF2" s="415"/>
      <c r="SXG2" s="415"/>
      <c r="SXH2" s="415"/>
      <c r="SXI2" s="415"/>
      <c r="SXJ2" s="415"/>
      <c r="SXK2" s="415"/>
      <c r="SXL2" s="415"/>
      <c r="SXM2" s="415"/>
      <c r="SXN2" s="415"/>
      <c r="SXO2" s="415"/>
      <c r="SXP2" s="415"/>
      <c r="SXQ2" s="415"/>
      <c r="SXR2" s="415"/>
      <c r="SXS2" s="415"/>
      <c r="SXT2" s="415"/>
      <c r="SXU2" s="415"/>
      <c r="SXV2" s="415"/>
      <c r="SXW2" s="415"/>
      <c r="SXX2" s="415"/>
      <c r="SXY2" s="415"/>
      <c r="SXZ2" s="415"/>
      <c r="SYA2" s="415"/>
      <c r="SYB2" s="415"/>
      <c r="SYC2" s="415"/>
      <c r="SYD2" s="415"/>
      <c r="SYE2" s="415"/>
      <c r="SYF2" s="415"/>
      <c r="SYG2" s="415"/>
      <c r="SYH2" s="415"/>
      <c r="SYI2" s="415"/>
      <c r="SYJ2" s="415"/>
      <c r="SYK2" s="415"/>
      <c r="SYL2" s="415"/>
      <c r="SYM2" s="415"/>
      <c r="SYN2" s="415"/>
      <c r="SYO2" s="415"/>
      <c r="SYP2" s="415"/>
      <c r="SYQ2" s="415"/>
      <c r="SYR2" s="415"/>
      <c r="SYS2" s="415"/>
      <c r="SYT2" s="415"/>
      <c r="SYU2" s="415"/>
      <c r="SYV2" s="415"/>
      <c r="SYW2" s="415"/>
      <c r="SYX2" s="415"/>
      <c r="SYY2" s="415"/>
      <c r="SYZ2" s="415"/>
      <c r="SZA2" s="415"/>
      <c r="SZB2" s="415"/>
      <c r="SZC2" s="415"/>
      <c r="SZD2" s="415"/>
      <c r="SZE2" s="415"/>
      <c r="SZF2" s="415"/>
      <c r="SZG2" s="415"/>
      <c r="SZH2" s="415"/>
      <c r="SZI2" s="415"/>
      <c r="SZJ2" s="415"/>
      <c r="SZK2" s="415"/>
      <c r="SZL2" s="415"/>
      <c r="SZM2" s="415"/>
      <c r="SZN2" s="415"/>
      <c r="SZO2" s="415"/>
      <c r="SZP2" s="415"/>
      <c r="SZQ2" s="415"/>
      <c r="SZR2" s="415"/>
      <c r="SZS2" s="415"/>
      <c r="SZT2" s="415"/>
      <c r="SZU2" s="415"/>
      <c r="SZV2" s="415"/>
      <c r="SZW2" s="415"/>
      <c r="SZX2" s="415"/>
      <c r="SZY2" s="415"/>
      <c r="SZZ2" s="415"/>
      <c r="TAA2" s="415"/>
      <c r="TAB2" s="415"/>
      <c r="TAC2" s="415"/>
      <c r="TAD2" s="415"/>
      <c r="TAE2" s="415"/>
      <c r="TAF2" s="415"/>
      <c r="TAG2" s="415"/>
      <c r="TAH2" s="415"/>
      <c r="TAI2" s="415"/>
      <c r="TAJ2" s="415"/>
      <c r="TAK2" s="415"/>
      <c r="TAL2" s="415"/>
      <c r="TAM2" s="415"/>
      <c r="TAN2" s="415"/>
      <c r="TAO2" s="415"/>
      <c r="TAP2" s="415"/>
      <c r="TAQ2" s="415"/>
      <c r="TAR2" s="415"/>
      <c r="TAS2" s="415"/>
      <c r="TAT2" s="415"/>
      <c r="TAU2" s="415"/>
      <c r="TAV2" s="415"/>
      <c r="TAW2" s="415"/>
      <c r="TAX2" s="415"/>
      <c r="TAY2" s="415"/>
      <c r="TAZ2" s="415"/>
      <c r="TBA2" s="415"/>
      <c r="TBB2" s="415"/>
      <c r="TBC2" s="415"/>
      <c r="TBD2" s="415"/>
      <c r="TBE2" s="415"/>
      <c r="TBF2" s="415"/>
      <c r="TBG2" s="415"/>
      <c r="TBH2" s="415"/>
      <c r="TBI2" s="415"/>
      <c r="TBJ2" s="415"/>
      <c r="TBK2" s="415"/>
      <c r="TBL2" s="415"/>
      <c r="TBM2" s="415"/>
      <c r="TBN2" s="415"/>
      <c r="TBO2" s="415"/>
      <c r="TBP2" s="415"/>
      <c r="TBQ2" s="415"/>
      <c r="TBR2" s="415"/>
      <c r="TBS2" s="415"/>
      <c r="TBT2" s="415"/>
      <c r="TBU2" s="415"/>
      <c r="TBV2" s="415"/>
      <c r="TBW2" s="415"/>
      <c r="TBX2" s="415"/>
      <c r="TBY2" s="415"/>
      <c r="TBZ2" s="415"/>
      <c r="TCA2" s="415"/>
      <c r="TCB2" s="415"/>
      <c r="TCC2" s="415"/>
      <c r="TCD2" s="415"/>
      <c r="TCE2" s="415"/>
      <c r="TCF2" s="415"/>
      <c r="TCG2" s="415"/>
      <c r="TCH2" s="415"/>
      <c r="TCI2" s="415"/>
      <c r="TCJ2" s="415"/>
      <c r="TCK2" s="415"/>
      <c r="TCL2" s="415"/>
      <c r="TCM2" s="415"/>
      <c r="TCN2" s="415"/>
      <c r="TCO2" s="415"/>
      <c r="TCP2" s="415"/>
      <c r="TCQ2" s="415"/>
      <c r="TCR2" s="415"/>
      <c r="TCS2" s="415"/>
      <c r="TCT2" s="415"/>
      <c r="TCU2" s="415"/>
      <c r="TCV2" s="415"/>
      <c r="TCW2" s="415"/>
      <c r="TCX2" s="415"/>
      <c r="TCY2" s="415"/>
      <c r="TCZ2" s="415"/>
      <c r="TDA2" s="415"/>
      <c r="TDB2" s="415"/>
      <c r="TDC2" s="415"/>
      <c r="TDD2" s="415"/>
      <c r="TDE2" s="415"/>
      <c r="TDF2" s="415"/>
      <c r="TDG2" s="415"/>
      <c r="TDH2" s="415"/>
      <c r="TDI2" s="415"/>
      <c r="TDJ2" s="415"/>
      <c r="TDK2" s="415"/>
      <c r="TDL2" s="415"/>
      <c r="TDM2" s="415"/>
      <c r="TDN2" s="415"/>
      <c r="TDO2" s="415"/>
      <c r="TDP2" s="415"/>
      <c r="TDQ2" s="415"/>
      <c r="TDR2" s="415"/>
      <c r="TDS2" s="415"/>
      <c r="TDT2" s="415"/>
      <c r="TDU2" s="415"/>
      <c r="TDV2" s="415"/>
      <c r="TDW2" s="415"/>
      <c r="TDX2" s="415"/>
      <c r="TDY2" s="415"/>
      <c r="TDZ2" s="415"/>
      <c r="TEA2" s="415"/>
      <c r="TEB2" s="415"/>
      <c r="TEC2" s="415"/>
      <c r="TED2" s="415"/>
      <c r="TEE2" s="415"/>
      <c r="TEF2" s="415"/>
      <c r="TEG2" s="415"/>
      <c r="TEH2" s="415"/>
      <c r="TEI2" s="415"/>
      <c r="TEJ2" s="415"/>
      <c r="TEK2" s="415"/>
      <c r="TEL2" s="415"/>
      <c r="TEM2" s="415"/>
      <c r="TEN2" s="415"/>
      <c r="TEO2" s="415"/>
      <c r="TEP2" s="415"/>
      <c r="TEQ2" s="415"/>
      <c r="TER2" s="415"/>
      <c r="TES2" s="415"/>
      <c r="TET2" s="415"/>
      <c r="TEU2" s="415"/>
      <c r="TEV2" s="415"/>
      <c r="TEW2" s="415"/>
      <c r="TEX2" s="415"/>
      <c r="TEY2" s="415"/>
      <c r="TEZ2" s="415"/>
      <c r="TFA2" s="415"/>
      <c r="TFB2" s="415"/>
      <c r="TFC2" s="415"/>
      <c r="TFD2" s="415"/>
      <c r="TFE2" s="415"/>
      <c r="TFF2" s="415"/>
      <c r="TFG2" s="415"/>
      <c r="TFH2" s="415"/>
      <c r="TFI2" s="415"/>
      <c r="TFJ2" s="415"/>
      <c r="TFK2" s="415"/>
      <c r="TFL2" s="415"/>
      <c r="TFM2" s="415"/>
      <c r="TFN2" s="415"/>
      <c r="TFO2" s="415"/>
      <c r="TFP2" s="415"/>
      <c r="TFQ2" s="415"/>
      <c r="TFR2" s="415"/>
      <c r="TFS2" s="415"/>
      <c r="TFT2" s="415"/>
      <c r="TFU2" s="415"/>
      <c r="TFV2" s="415"/>
      <c r="TFW2" s="415"/>
      <c r="TFX2" s="415"/>
      <c r="TFY2" s="415"/>
      <c r="TFZ2" s="415"/>
      <c r="TGA2" s="415"/>
      <c r="TGB2" s="415"/>
      <c r="TGC2" s="415"/>
      <c r="TGD2" s="415"/>
      <c r="TGE2" s="415"/>
      <c r="TGF2" s="415"/>
      <c r="TGG2" s="415"/>
      <c r="TGH2" s="415"/>
      <c r="TGI2" s="415"/>
      <c r="TGJ2" s="415"/>
      <c r="TGK2" s="415"/>
      <c r="TGL2" s="415"/>
      <c r="TGM2" s="415"/>
      <c r="TGN2" s="415"/>
      <c r="TGO2" s="415"/>
      <c r="TGP2" s="415"/>
      <c r="TGQ2" s="415"/>
      <c r="TGR2" s="415"/>
      <c r="TGS2" s="415"/>
      <c r="TGT2" s="415"/>
      <c r="TGU2" s="415"/>
      <c r="TGV2" s="415"/>
      <c r="TGW2" s="415"/>
      <c r="TGX2" s="415"/>
      <c r="TGY2" s="415"/>
      <c r="TGZ2" s="415"/>
      <c r="THA2" s="415"/>
      <c r="THB2" s="415"/>
      <c r="THC2" s="415"/>
      <c r="THD2" s="415"/>
      <c r="THE2" s="415"/>
      <c r="THF2" s="415"/>
      <c r="THG2" s="415"/>
      <c r="THH2" s="415"/>
      <c r="THI2" s="415"/>
      <c r="THJ2" s="415"/>
      <c r="THK2" s="415"/>
      <c r="THL2" s="415"/>
      <c r="THM2" s="415"/>
      <c r="THN2" s="415"/>
      <c r="THO2" s="415"/>
      <c r="THP2" s="415"/>
      <c r="THQ2" s="415"/>
      <c r="THR2" s="415"/>
      <c r="THS2" s="415"/>
      <c r="THT2" s="415"/>
      <c r="THU2" s="415"/>
      <c r="THV2" s="415"/>
      <c r="THW2" s="415"/>
      <c r="THX2" s="415"/>
      <c r="THY2" s="415"/>
      <c r="THZ2" s="415"/>
      <c r="TIA2" s="415"/>
      <c r="TIB2" s="415"/>
      <c r="TIC2" s="415"/>
      <c r="TID2" s="415"/>
      <c r="TIE2" s="415"/>
      <c r="TIF2" s="415"/>
      <c r="TIG2" s="415"/>
      <c r="TIH2" s="415"/>
      <c r="TII2" s="415"/>
      <c r="TIJ2" s="415"/>
      <c r="TIK2" s="415"/>
      <c r="TIL2" s="415"/>
      <c r="TIM2" s="415"/>
      <c r="TIN2" s="415"/>
      <c r="TIO2" s="415"/>
      <c r="TIP2" s="415"/>
      <c r="TIQ2" s="415"/>
      <c r="TIR2" s="415"/>
      <c r="TIS2" s="415"/>
      <c r="TIT2" s="415"/>
      <c r="TIU2" s="415"/>
      <c r="TIV2" s="415"/>
      <c r="TIW2" s="415"/>
      <c r="TIX2" s="415"/>
      <c r="TIY2" s="415"/>
      <c r="TIZ2" s="415"/>
      <c r="TJA2" s="415"/>
      <c r="TJB2" s="415"/>
      <c r="TJC2" s="415"/>
      <c r="TJD2" s="415"/>
      <c r="TJE2" s="415"/>
      <c r="TJF2" s="415"/>
      <c r="TJG2" s="415"/>
      <c r="TJH2" s="415"/>
      <c r="TJI2" s="415"/>
      <c r="TJJ2" s="415"/>
      <c r="TJK2" s="415"/>
      <c r="TJL2" s="415"/>
      <c r="TJM2" s="415"/>
      <c r="TJN2" s="415"/>
      <c r="TJO2" s="415"/>
      <c r="TJP2" s="415"/>
      <c r="TJQ2" s="415"/>
      <c r="TJR2" s="415"/>
      <c r="TJS2" s="415"/>
      <c r="TJT2" s="415"/>
      <c r="TJU2" s="415"/>
      <c r="TJV2" s="415"/>
      <c r="TJW2" s="415"/>
      <c r="TJX2" s="415"/>
      <c r="TJY2" s="415"/>
      <c r="TJZ2" s="415"/>
      <c r="TKA2" s="415"/>
      <c r="TKB2" s="415"/>
      <c r="TKC2" s="415"/>
      <c r="TKD2" s="415"/>
      <c r="TKE2" s="415"/>
      <c r="TKF2" s="415"/>
      <c r="TKG2" s="415"/>
      <c r="TKH2" s="415"/>
      <c r="TKI2" s="415"/>
      <c r="TKJ2" s="415"/>
      <c r="TKK2" s="415"/>
      <c r="TKL2" s="415"/>
      <c r="TKM2" s="415"/>
      <c r="TKN2" s="415"/>
      <c r="TKO2" s="415"/>
      <c r="TKP2" s="415"/>
      <c r="TKQ2" s="415"/>
      <c r="TKR2" s="415"/>
      <c r="TKS2" s="415"/>
      <c r="TKT2" s="415"/>
      <c r="TKU2" s="415"/>
      <c r="TKV2" s="415"/>
      <c r="TKW2" s="415"/>
      <c r="TKX2" s="415"/>
      <c r="TKY2" s="415"/>
      <c r="TKZ2" s="415"/>
      <c r="TLA2" s="415"/>
      <c r="TLB2" s="415"/>
      <c r="TLC2" s="415"/>
      <c r="TLD2" s="415"/>
      <c r="TLE2" s="415"/>
      <c r="TLF2" s="415"/>
      <c r="TLG2" s="415"/>
      <c r="TLH2" s="415"/>
      <c r="TLI2" s="415"/>
      <c r="TLJ2" s="415"/>
      <c r="TLK2" s="415"/>
      <c r="TLL2" s="415"/>
      <c r="TLM2" s="415"/>
      <c r="TLN2" s="415"/>
      <c r="TLO2" s="415"/>
      <c r="TLP2" s="415"/>
      <c r="TLQ2" s="415"/>
      <c r="TLR2" s="415"/>
      <c r="TLS2" s="415"/>
      <c r="TLT2" s="415"/>
      <c r="TLU2" s="415"/>
      <c r="TLV2" s="415"/>
      <c r="TLW2" s="415"/>
      <c r="TLX2" s="415"/>
      <c r="TLY2" s="415"/>
      <c r="TLZ2" s="415"/>
      <c r="TMA2" s="415"/>
      <c r="TMB2" s="415"/>
      <c r="TMC2" s="415"/>
      <c r="TMD2" s="415"/>
      <c r="TME2" s="415"/>
      <c r="TMF2" s="415"/>
      <c r="TMG2" s="415"/>
      <c r="TMH2" s="415"/>
      <c r="TMI2" s="415"/>
      <c r="TMJ2" s="415"/>
      <c r="TMK2" s="415"/>
      <c r="TML2" s="415"/>
      <c r="TMM2" s="415"/>
      <c r="TMN2" s="415"/>
      <c r="TMO2" s="415"/>
      <c r="TMP2" s="415"/>
      <c r="TMQ2" s="415"/>
      <c r="TMR2" s="415"/>
      <c r="TMS2" s="415"/>
      <c r="TMT2" s="415"/>
      <c r="TMU2" s="415"/>
      <c r="TMV2" s="415"/>
      <c r="TMW2" s="415"/>
      <c r="TMX2" s="415"/>
      <c r="TMY2" s="415"/>
      <c r="TMZ2" s="415"/>
      <c r="TNA2" s="415"/>
      <c r="TNB2" s="415"/>
      <c r="TNC2" s="415"/>
      <c r="TND2" s="415"/>
      <c r="TNE2" s="415"/>
      <c r="TNF2" s="415"/>
      <c r="TNG2" s="415"/>
      <c r="TNH2" s="415"/>
      <c r="TNI2" s="415"/>
      <c r="TNJ2" s="415"/>
      <c r="TNK2" s="415"/>
      <c r="TNL2" s="415"/>
      <c r="TNM2" s="415"/>
      <c r="TNN2" s="415"/>
      <c r="TNO2" s="415"/>
      <c r="TNP2" s="415"/>
      <c r="TNQ2" s="415"/>
      <c r="TNR2" s="415"/>
      <c r="TNS2" s="415"/>
      <c r="TNT2" s="415"/>
      <c r="TNU2" s="415"/>
      <c r="TNV2" s="415"/>
      <c r="TNW2" s="415"/>
      <c r="TNX2" s="415"/>
      <c r="TNY2" s="415"/>
      <c r="TNZ2" s="415"/>
      <c r="TOA2" s="415"/>
      <c r="TOB2" s="415"/>
      <c r="TOC2" s="415"/>
      <c r="TOD2" s="415"/>
      <c r="TOE2" s="415"/>
      <c r="TOF2" s="415"/>
      <c r="TOG2" s="415"/>
      <c r="TOH2" s="415"/>
      <c r="TOI2" s="415"/>
      <c r="TOJ2" s="415"/>
      <c r="TOK2" s="415"/>
      <c r="TOL2" s="415"/>
      <c r="TOM2" s="415"/>
      <c r="TON2" s="415"/>
      <c r="TOO2" s="415"/>
      <c r="TOP2" s="415"/>
      <c r="TOQ2" s="415"/>
      <c r="TOR2" s="415"/>
      <c r="TOS2" s="415"/>
      <c r="TOT2" s="415"/>
      <c r="TOU2" s="415"/>
      <c r="TOV2" s="415"/>
      <c r="TOW2" s="415"/>
      <c r="TOX2" s="415"/>
      <c r="TOY2" s="415"/>
      <c r="TOZ2" s="415"/>
      <c r="TPA2" s="415"/>
      <c r="TPB2" s="415"/>
      <c r="TPC2" s="415"/>
      <c r="TPD2" s="415"/>
      <c r="TPE2" s="415"/>
      <c r="TPF2" s="415"/>
      <c r="TPG2" s="415"/>
      <c r="TPH2" s="415"/>
      <c r="TPI2" s="415"/>
      <c r="TPJ2" s="415"/>
      <c r="TPK2" s="415"/>
      <c r="TPL2" s="415"/>
      <c r="TPM2" s="415"/>
      <c r="TPN2" s="415"/>
      <c r="TPO2" s="415"/>
      <c r="TPP2" s="415"/>
      <c r="TPQ2" s="415"/>
      <c r="TPR2" s="415"/>
      <c r="TPS2" s="415"/>
      <c r="TPT2" s="415"/>
      <c r="TPU2" s="415"/>
      <c r="TPV2" s="415"/>
      <c r="TPW2" s="415"/>
      <c r="TPX2" s="415"/>
      <c r="TPY2" s="415"/>
      <c r="TPZ2" s="415"/>
      <c r="TQA2" s="415"/>
      <c r="TQB2" s="415"/>
      <c r="TQC2" s="415"/>
      <c r="TQD2" s="415"/>
      <c r="TQE2" s="415"/>
      <c r="TQF2" s="415"/>
      <c r="TQG2" s="415"/>
      <c r="TQH2" s="415"/>
      <c r="TQI2" s="415"/>
      <c r="TQJ2" s="415"/>
      <c r="TQK2" s="415"/>
      <c r="TQL2" s="415"/>
      <c r="TQM2" s="415"/>
      <c r="TQN2" s="415"/>
      <c r="TQO2" s="415"/>
      <c r="TQP2" s="415"/>
      <c r="TQQ2" s="415"/>
      <c r="TQR2" s="415"/>
      <c r="TQS2" s="415"/>
      <c r="TQT2" s="415"/>
      <c r="TQU2" s="415"/>
      <c r="TQV2" s="415"/>
      <c r="TQW2" s="415"/>
      <c r="TQX2" s="415"/>
      <c r="TQY2" s="415"/>
      <c r="TQZ2" s="415"/>
      <c r="TRA2" s="415"/>
      <c r="TRB2" s="415"/>
      <c r="TRC2" s="415"/>
      <c r="TRD2" s="415"/>
      <c r="TRE2" s="415"/>
      <c r="TRF2" s="415"/>
      <c r="TRG2" s="415"/>
      <c r="TRH2" s="415"/>
      <c r="TRI2" s="415"/>
      <c r="TRJ2" s="415"/>
      <c r="TRK2" s="415"/>
      <c r="TRL2" s="415"/>
      <c r="TRM2" s="415"/>
      <c r="TRN2" s="415"/>
      <c r="TRO2" s="415"/>
      <c r="TRP2" s="415"/>
      <c r="TRQ2" s="415"/>
      <c r="TRR2" s="415"/>
      <c r="TRS2" s="415"/>
      <c r="TRT2" s="415"/>
      <c r="TRU2" s="415"/>
      <c r="TRV2" s="415"/>
      <c r="TRW2" s="415"/>
      <c r="TRX2" s="415"/>
      <c r="TRY2" s="415"/>
      <c r="TRZ2" s="415"/>
      <c r="TSA2" s="415"/>
      <c r="TSB2" s="415"/>
      <c r="TSC2" s="415"/>
      <c r="TSD2" s="415"/>
      <c r="TSE2" s="415"/>
      <c r="TSF2" s="415"/>
      <c r="TSG2" s="415"/>
      <c r="TSH2" s="415"/>
      <c r="TSI2" s="415"/>
      <c r="TSJ2" s="415"/>
      <c r="TSK2" s="415"/>
      <c r="TSL2" s="415"/>
      <c r="TSM2" s="415"/>
      <c r="TSN2" s="415"/>
      <c r="TSO2" s="415"/>
      <c r="TSP2" s="415"/>
      <c r="TSQ2" s="415"/>
      <c r="TSR2" s="415"/>
      <c r="TSS2" s="415"/>
      <c r="TST2" s="415"/>
      <c r="TSU2" s="415"/>
      <c r="TSV2" s="415"/>
      <c r="TSW2" s="415"/>
      <c r="TSX2" s="415"/>
      <c r="TSY2" s="415"/>
      <c r="TSZ2" s="415"/>
      <c r="TTA2" s="415"/>
      <c r="TTB2" s="415"/>
      <c r="TTC2" s="415"/>
      <c r="TTD2" s="415"/>
      <c r="TTE2" s="415"/>
      <c r="TTF2" s="415"/>
      <c r="TTG2" s="415"/>
      <c r="TTH2" s="415"/>
      <c r="TTI2" s="415"/>
      <c r="TTJ2" s="415"/>
      <c r="TTK2" s="415"/>
      <c r="TTL2" s="415"/>
      <c r="TTM2" s="415"/>
      <c r="TTN2" s="415"/>
      <c r="TTO2" s="415"/>
      <c r="TTP2" s="415"/>
      <c r="TTQ2" s="415"/>
      <c r="TTR2" s="415"/>
      <c r="TTS2" s="415"/>
      <c r="TTT2" s="415"/>
      <c r="TTU2" s="415"/>
      <c r="TTV2" s="415"/>
      <c r="TTW2" s="415"/>
      <c r="TTX2" s="415"/>
      <c r="TTY2" s="415"/>
      <c r="TTZ2" s="415"/>
      <c r="TUA2" s="415"/>
      <c r="TUB2" s="415"/>
      <c r="TUC2" s="415"/>
      <c r="TUD2" s="415"/>
      <c r="TUE2" s="415"/>
      <c r="TUF2" s="415"/>
      <c r="TUG2" s="415"/>
      <c r="TUH2" s="415"/>
      <c r="TUI2" s="415"/>
      <c r="TUJ2" s="415"/>
      <c r="TUK2" s="415"/>
      <c r="TUL2" s="415"/>
      <c r="TUM2" s="415"/>
      <c r="TUN2" s="415"/>
      <c r="TUO2" s="415"/>
      <c r="TUP2" s="415"/>
      <c r="TUQ2" s="415"/>
      <c r="TUR2" s="415"/>
      <c r="TUS2" s="415"/>
      <c r="TUT2" s="415"/>
      <c r="TUU2" s="415"/>
      <c r="TUV2" s="415"/>
      <c r="TUW2" s="415"/>
      <c r="TUX2" s="415"/>
      <c r="TUY2" s="415"/>
      <c r="TUZ2" s="415"/>
      <c r="TVA2" s="415"/>
      <c r="TVB2" s="415"/>
      <c r="TVC2" s="415"/>
      <c r="TVD2" s="415"/>
      <c r="TVE2" s="415"/>
      <c r="TVF2" s="415"/>
      <c r="TVG2" s="415"/>
      <c r="TVH2" s="415"/>
      <c r="TVI2" s="415"/>
      <c r="TVJ2" s="415"/>
      <c r="TVK2" s="415"/>
      <c r="TVL2" s="415"/>
      <c r="TVM2" s="415"/>
      <c r="TVN2" s="415"/>
      <c r="TVO2" s="415"/>
      <c r="TVP2" s="415"/>
      <c r="TVQ2" s="415"/>
      <c r="TVR2" s="415"/>
      <c r="TVS2" s="415"/>
      <c r="TVT2" s="415"/>
      <c r="TVU2" s="415"/>
      <c r="TVV2" s="415"/>
      <c r="TVW2" s="415"/>
      <c r="TVX2" s="415"/>
      <c r="TVY2" s="415"/>
      <c r="TVZ2" s="415"/>
      <c r="TWA2" s="415"/>
      <c r="TWB2" s="415"/>
      <c r="TWC2" s="415"/>
      <c r="TWD2" s="415"/>
      <c r="TWE2" s="415"/>
      <c r="TWF2" s="415"/>
      <c r="TWG2" s="415"/>
      <c r="TWH2" s="415"/>
      <c r="TWI2" s="415"/>
      <c r="TWJ2" s="415"/>
      <c r="TWK2" s="415"/>
      <c r="TWL2" s="415"/>
      <c r="TWM2" s="415"/>
      <c r="TWN2" s="415"/>
      <c r="TWO2" s="415"/>
      <c r="TWP2" s="415"/>
      <c r="TWQ2" s="415"/>
      <c r="TWR2" s="415"/>
      <c r="TWS2" s="415"/>
      <c r="TWT2" s="415"/>
      <c r="TWU2" s="415"/>
      <c r="TWV2" s="415"/>
      <c r="TWW2" s="415"/>
      <c r="TWX2" s="415"/>
      <c r="TWY2" s="415"/>
      <c r="TWZ2" s="415"/>
      <c r="TXA2" s="415"/>
      <c r="TXB2" s="415"/>
      <c r="TXC2" s="415"/>
      <c r="TXD2" s="415"/>
      <c r="TXE2" s="415"/>
      <c r="TXF2" s="415"/>
      <c r="TXG2" s="415"/>
      <c r="TXH2" s="415"/>
      <c r="TXI2" s="415"/>
      <c r="TXJ2" s="415"/>
      <c r="TXK2" s="415"/>
      <c r="TXL2" s="415"/>
      <c r="TXM2" s="415"/>
      <c r="TXN2" s="415"/>
      <c r="TXO2" s="415"/>
      <c r="TXP2" s="415"/>
      <c r="TXQ2" s="415"/>
      <c r="TXR2" s="415"/>
      <c r="TXS2" s="415"/>
      <c r="TXT2" s="415"/>
      <c r="TXU2" s="415"/>
      <c r="TXV2" s="415"/>
      <c r="TXW2" s="415"/>
      <c r="TXX2" s="415"/>
      <c r="TXY2" s="415"/>
      <c r="TXZ2" s="415"/>
      <c r="TYA2" s="415"/>
      <c r="TYB2" s="415"/>
      <c r="TYC2" s="415"/>
      <c r="TYD2" s="415"/>
      <c r="TYE2" s="415"/>
      <c r="TYF2" s="415"/>
      <c r="TYG2" s="415"/>
      <c r="TYH2" s="415"/>
      <c r="TYI2" s="415"/>
      <c r="TYJ2" s="415"/>
      <c r="TYK2" s="415"/>
      <c r="TYL2" s="415"/>
      <c r="TYM2" s="415"/>
      <c r="TYN2" s="415"/>
      <c r="TYO2" s="415"/>
      <c r="TYP2" s="415"/>
      <c r="TYQ2" s="415"/>
      <c r="TYR2" s="415"/>
      <c r="TYS2" s="415"/>
      <c r="TYT2" s="415"/>
      <c r="TYU2" s="415"/>
      <c r="TYV2" s="415"/>
      <c r="TYW2" s="415"/>
      <c r="TYX2" s="415"/>
      <c r="TYY2" s="415"/>
      <c r="TYZ2" s="415"/>
      <c r="TZA2" s="415"/>
      <c r="TZB2" s="415"/>
      <c r="TZC2" s="415"/>
      <c r="TZD2" s="415"/>
      <c r="TZE2" s="415"/>
      <c r="TZF2" s="415"/>
      <c r="TZG2" s="415"/>
      <c r="TZH2" s="415"/>
      <c r="TZI2" s="415"/>
      <c r="TZJ2" s="415"/>
      <c r="TZK2" s="415"/>
      <c r="TZL2" s="415"/>
      <c r="TZM2" s="415"/>
      <c r="TZN2" s="415"/>
      <c r="TZO2" s="415"/>
      <c r="TZP2" s="415"/>
      <c r="TZQ2" s="415"/>
      <c r="TZR2" s="415"/>
      <c r="TZS2" s="415"/>
      <c r="TZT2" s="415"/>
      <c r="TZU2" s="415"/>
      <c r="TZV2" s="415"/>
      <c r="TZW2" s="415"/>
      <c r="TZX2" s="415"/>
      <c r="TZY2" s="415"/>
      <c r="TZZ2" s="415"/>
      <c r="UAA2" s="415"/>
      <c r="UAB2" s="415"/>
      <c r="UAC2" s="415"/>
      <c r="UAD2" s="415"/>
      <c r="UAE2" s="415"/>
      <c r="UAF2" s="415"/>
      <c r="UAG2" s="415"/>
      <c r="UAH2" s="415"/>
      <c r="UAI2" s="415"/>
      <c r="UAJ2" s="415"/>
      <c r="UAK2" s="415"/>
      <c r="UAL2" s="415"/>
      <c r="UAM2" s="415"/>
      <c r="UAN2" s="415"/>
      <c r="UAO2" s="415"/>
      <c r="UAP2" s="415"/>
      <c r="UAQ2" s="415"/>
      <c r="UAR2" s="415"/>
      <c r="UAS2" s="415"/>
      <c r="UAT2" s="415"/>
      <c r="UAU2" s="415"/>
      <c r="UAV2" s="415"/>
      <c r="UAW2" s="415"/>
      <c r="UAX2" s="415"/>
      <c r="UAY2" s="415"/>
      <c r="UAZ2" s="415"/>
      <c r="UBA2" s="415"/>
      <c r="UBB2" s="415"/>
      <c r="UBC2" s="415"/>
      <c r="UBD2" s="415"/>
      <c r="UBE2" s="415"/>
      <c r="UBF2" s="415"/>
      <c r="UBG2" s="415"/>
      <c r="UBH2" s="415"/>
      <c r="UBI2" s="415"/>
      <c r="UBJ2" s="415"/>
      <c r="UBK2" s="415"/>
      <c r="UBL2" s="415"/>
      <c r="UBM2" s="415"/>
      <c r="UBN2" s="415"/>
      <c r="UBO2" s="415"/>
      <c r="UBP2" s="415"/>
      <c r="UBQ2" s="415"/>
      <c r="UBR2" s="415"/>
      <c r="UBS2" s="415"/>
      <c r="UBT2" s="415"/>
      <c r="UBU2" s="415"/>
      <c r="UBV2" s="415"/>
      <c r="UBW2" s="415"/>
      <c r="UBX2" s="415"/>
      <c r="UBY2" s="415"/>
      <c r="UBZ2" s="415"/>
      <c r="UCA2" s="415"/>
      <c r="UCB2" s="415"/>
      <c r="UCC2" s="415"/>
      <c r="UCD2" s="415"/>
      <c r="UCE2" s="415"/>
      <c r="UCF2" s="415"/>
      <c r="UCG2" s="415"/>
      <c r="UCH2" s="415"/>
      <c r="UCI2" s="415"/>
      <c r="UCJ2" s="415"/>
      <c r="UCK2" s="415"/>
      <c r="UCL2" s="415"/>
      <c r="UCM2" s="415"/>
      <c r="UCN2" s="415"/>
      <c r="UCO2" s="415"/>
      <c r="UCP2" s="415"/>
      <c r="UCQ2" s="415"/>
      <c r="UCR2" s="415"/>
      <c r="UCS2" s="415"/>
      <c r="UCT2" s="415"/>
      <c r="UCU2" s="415"/>
      <c r="UCV2" s="415"/>
      <c r="UCW2" s="415"/>
      <c r="UCX2" s="415"/>
      <c r="UCY2" s="415"/>
      <c r="UCZ2" s="415"/>
      <c r="UDA2" s="415"/>
      <c r="UDB2" s="415"/>
      <c r="UDC2" s="415"/>
      <c r="UDD2" s="415"/>
      <c r="UDE2" s="415"/>
      <c r="UDF2" s="415"/>
      <c r="UDG2" s="415"/>
      <c r="UDH2" s="415"/>
      <c r="UDI2" s="415"/>
      <c r="UDJ2" s="415"/>
      <c r="UDK2" s="415"/>
      <c r="UDL2" s="415"/>
      <c r="UDM2" s="415"/>
      <c r="UDN2" s="415"/>
      <c r="UDO2" s="415"/>
      <c r="UDP2" s="415"/>
      <c r="UDQ2" s="415"/>
      <c r="UDR2" s="415"/>
      <c r="UDS2" s="415"/>
      <c r="UDT2" s="415"/>
      <c r="UDU2" s="415"/>
      <c r="UDV2" s="415"/>
      <c r="UDW2" s="415"/>
      <c r="UDX2" s="415"/>
      <c r="UDY2" s="415"/>
      <c r="UDZ2" s="415"/>
      <c r="UEA2" s="415"/>
      <c r="UEB2" s="415"/>
      <c r="UEC2" s="415"/>
      <c r="UED2" s="415"/>
      <c r="UEE2" s="415"/>
      <c r="UEF2" s="415"/>
      <c r="UEG2" s="415"/>
      <c r="UEH2" s="415"/>
      <c r="UEI2" s="415"/>
      <c r="UEJ2" s="415"/>
      <c r="UEK2" s="415"/>
      <c r="UEL2" s="415"/>
      <c r="UEM2" s="415"/>
      <c r="UEN2" s="415"/>
      <c r="UEO2" s="415"/>
      <c r="UEP2" s="415"/>
      <c r="UEQ2" s="415"/>
      <c r="UER2" s="415"/>
      <c r="UES2" s="415"/>
      <c r="UET2" s="415"/>
      <c r="UEU2" s="415"/>
      <c r="UEV2" s="415"/>
      <c r="UEW2" s="415"/>
      <c r="UEX2" s="415"/>
      <c r="UEY2" s="415"/>
      <c r="UEZ2" s="415"/>
      <c r="UFA2" s="415"/>
      <c r="UFB2" s="415"/>
      <c r="UFC2" s="415"/>
      <c r="UFD2" s="415"/>
      <c r="UFE2" s="415"/>
      <c r="UFF2" s="415"/>
      <c r="UFG2" s="415"/>
      <c r="UFH2" s="415"/>
      <c r="UFI2" s="415"/>
      <c r="UFJ2" s="415"/>
      <c r="UFK2" s="415"/>
      <c r="UFL2" s="415"/>
      <c r="UFM2" s="415"/>
      <c r="UFN2" s="415"/>
      <c r="UFO2" s="415"/>
      <c r="UFP2" s="415"/>
      <c r="UFQ2" s="415"/>
      <c r="UFR2" s="415"/>
      <c r="UFS2" s="415"/>
      <c r="UFT2" s="415"/>
      <c r="UFU2" s="415"/>
      <c r="UFV2" s="415"/>
      <c r="UFW2" s="415"/>
      <c r="UFX2" s="415"/>
      <c r="UFY2" s="415"/>
      <c r="UFZ2" s="415"/>
      <c r="UGA2" s="415"/>
      <c r="UGB2" s="415"/>
      <c r="UGC2" s="415"/>
      <c r="UGD2" s="415"/>
      <c r="UGE2" s="415"/>
      <c r="UGF2" s="415"/>
      <c r="UGG2" s="415"/>
      <c r="UGH2" s="415"/>
      <c r="UGI2" s="415"/>
      <c r="UGJ2" s="415"/>
      <c r="UGK2" s="415"/>
      <c r="UGL2" s="415"/>
      <c r="UGM2" s="415"/>
      <c r="UGN2" s="415"/>
      <c r="UGO2" s="415"/>
      <c r="UGP2" s="415"/>
      <c r="UGQ2" s="415"/>
      <c r="UGR2" s="415"/>
      <c r="UGS2" s="415"/>
      <c r="UGT2" s="415"/>
      <c r="UGU2" s="415"/>
      <c r="UGV2" s="415"/>
      <c r="UGW2" s="415"/>
      <c r="UGX2" s="415"/>
      <c r="UGY2" s="415"/>
      <c r="UGZ2" s="415"/>
      <c r="UHA2" s="415"/>
      <c r="UHB2" s="415"/>
      <c r="UHC2" s="415"/>
      <c r="UHD2" s="415"/>
      <c r="UHE2" s="415"/>
      <c r="UHF2" s="415"/>
      <c r="UHG2" s="415"/>
      <c r="UHH2" s="415"/>
      <c r="UHI2" s="415"/>
      <c r="UHJ2" s="415"/>
      <c r="UHK2" s="415"/>
      <c r="UHL2" s="415"/>
      <c r="UHM2" s="415"/>
      <c r="UHN2" s="415"/>
      <c r="UHO2" s="415"/>
      <c r="UHP2" s="415"/>
      <c r="UHQ2" s="415"/>
      <c r="UHR2" s="415"/>
      <c r="UHS2" s="415"/>
      <c r="UHT2" s="415"/>
      <c r="UHU2" s="415"/>
      <c r="UHV2" s="415"/>
      <c r="UHW2" s="415"/>
      <c r="UHX2" s="415"/>
      <c r="UHY2" s="415"/>
      <c r="UHZ2" s="415"/>
      <c r="UIA2" s="415"/>
      <c r="UIB2" s="415"/>
      <c r="UIC2" s="415"/>
      <c r="UID2" s="415"/>
      <c r="UIE2" s="415"/>
      <c r="UIF2" s="415"/>
      <c r="UIG2" s="415"/>
      <c r="UIH2" s="415"/>
      <c r="UII2" s="415"/>
      <c r="UIJ2" s="415"/>
      <c r="UIK2" s="415"/>
      <c r="UIL2" s="415"/>
      <c r="UIM2" s="415"/>
      <c r="UIN2" s="415"/>
      <c r="UIO2" s="415"/>
      <c r="UIP2" s="415"/>
      <c r="UIQ2" s="415"/>
      <c r="UIR2" s="415"/>
      <c r="UIS2" s="415"/>
      <c r="UIT2" s="415"/>
      <c r="UIU2" s="415"/>
      <c r="UIV2" s="415"/>
      <c r="UIW2" s="415"/>
      <c r="UIX2" s="415"/>
      <c r="UIY2" s="415"/>
      <c r="UIZ2" s="415"/>
      <c r="UJA2" s="415"/>
      <c r="UJB2" s="415"/>
      <c r="UJC2" s="415"/>
      <c r="UJD2" s="415"/>
      <c r="UJE2" s="415"/>
      <c r="UJF2" s="415"/>
      <c r="UJG2" s="415"/>
      <c r="UJH2" s="415"/>
      <c r="UJI2" s="415"/>
      <c r="UJJ2" s="415"/>
      <c r="UJK2" s="415"/>
      <c r="UJL2" s="415"/>
      <c r="UJM2" s="415"/>
      <c r="UJN2" s="415"/>
      <c r="UJO2" s="415"/>
      <c r="UJP2" s="415"/>
      <c r="UJQ2" s="415"/>
      <c r="UJR2" s="415"/>
      <c r="UJS2" s="415"/>
      <c r="UJT2" s="415"/>
      <c r="UJU2" s="415"/>
      <c r="UJV2" s="415"/>
      <c r="UJW2" s="415"/>
      <c r="UJX2" s="415"/>
      <c r="UJY2" s="415"/>
      <c r="UJZ2" s="415"/>
      <c r="UKA2" s="415"/>
      <c r="UKB2" s="415"/>
      <c r="UKC2" s="415"/>
      <c r="UKD2" s="415"/>
      <c r="UKE2" s="415"/>
      <c r="UKF2" s="415"/>
      <c r="UKG2" s="415"/>
      <c r="UKH2" s="415"/>
      <c r="UKI2" s="415"/>
      <c r="UKJ2" s="415"/>
      <c r="UKK2" s="415"/>
      <c r="UKL2" s="415"/>
      <c r="UKM2" s="415"/>
      <c r="UKN2" s="415"/>
      <c r="UKO2" s="415"/>
      <c r="UKP2" s="415"/>
      <c r="UKQ2" s="415"/>
      <c r="UKR2" s="415"/>
      <c r="UKS2" s="415"/>
      <c r="UKT2" s="415"/>
      <c r="UKU2" s="415"/>
      <c r="UKV2" s="415"/>
      <c r="UKW2" s="415"/>
      <c r="UKX2" s="415"/>
      <c r="UKY2" s="415"/>
      <c r="UKZ2" s="415"/>
      <c r="ULA2" s="415"/>
      <c r="ULB2" s="415"/>
      <c r="ULC2" s="415"/>
      <c r="ULD2" s="415"/>
      <c r="ULE2" s="415"/>
      <c r="ULF2" s="415"/>
      <c r="ULG2" s="415"/>
      <c r="ULH2" s="415"/>
      <c r="ULI2" s="415"/>
      <c r="ULJ2" s="415"/>
      <c r="ULK2" s="415"/>
      <c r="ULL2" s="415"/>
      <c r="ULM2" s="415"/>
      <c r="ULN2" s="415"/>
      <c r="ULO2" s="415"/>
      <c r="ULP2" s="415"/>
      <c r="ULQ2" s="415"/>
      <c r="ULR2" s="415"/>
      <c r="ULS2" s="415"/>
      <c r="ULT2" s="415"/>
      <c r="ULU2" s="415"/>
      <c r="ULV2" s="415"/>
      <c r="ULW2" s="415"/>
      <c r="ULX2" s="415"/>
      <c r="ULY2" s="415"/>
      <c r="ULZ2" s="415"/>
      <c r="UMA2" s="415"/>
      <c r="UMB2" s="415"/>
      <c r="UMC2" s="415"/>
      <c r="UMD2" s="415"/>
      <c r="UME2" s="415"/>
      <c r="UMF2" s="415"/>
      <c r="UMG2" s="415"/>
      <c r="UMH2" s="415"/>
      <c r="UMI2" s="415"/>
      <c r="UMJ2" s="415"/>
      <c r="UMK2" s="415"/>
      <c r="UML2" s="415"/>
      <c r="UMM2" s="415"/>
      <c r="UMN2" s="415"/>
      <c r="UMO2" s="415"/>
      <c r="UMP2" s="415"/>
      <c r="UMQ2" s="415"/>
      <c r="UMR2" s="415"/>
      <c r="UMS2" s="415"/>
      <c r="UMT2" s="415"/>
      <c r="UMU2" s="415"/>
      <c r="UMV2" s="415"/>
      <c r="UMW2" s="415"/>
      <c r="UMX2" s="415"/>
      <c r="UMY2" s="415"/>
      <c r="UMZ2" s="415"/>
      <c r="UNA2" s="415"/>
      <c r="UNB2" s="415"/>
      <c r="UNC2" s="415"/>
      <c r="UND2" s="415"/>
      <c r="UNE2" s="415"/>
      <c r="UNF2" s="415"/>
      <c r="UNG2" s="415"/>
      <c r="UNH2" s="415"/>
      <c r="UNI2" s="415"/>
      <c r="UNJ2" s="415"/>
      <c r="UNK2" s="415"/>
      <c r="UNL2" s="415"/>
      <c r="UNM2" s="415"/>
      <c r="UNN2" s="415"/>
      <c r="UNO2" s="415"/>
      <c r="UNP2" s="415"/>
      <c r="UNQ2" s="415"/>
      <c r="UNR2" s="415"/>
      <c r="UNS2" s="415"/>
      <c r="UNT2" s="415"/>
      <c r="UNU2" s="415"/>
      <c r="UNV2" s="415"/>
      <c r="UNW2" s="415"/>
      <c r="UNX2" s="415"/>
      <c r="UNY2" s="415"/>
      <c r="UNZ2" s="415"/>
      <c r="UOA2" s="415"/>
      <c r="UOB2" s="415"/>
      <c r="UOC2" s="415"/>
      <c r="UOD2" s="415"/>
      <c r="UOE2" s="415"/>
      <c r="UOF2" s="415"/>
      <c r="UOG2" s="415"/>
      <c r="UOH2" s="415"/>
      <c r="UOI2" s="415"/>
      <c r="UOJ2" s="415"/>
      <c r="UOK2" s="415"/>
      <c r="UOL2" s="415"/>
      <c r="UOM2" s="415"/>
      <c r="UON2" s="415"/>
      <c r="UOO2" s="415"/>
      <c r="UOP2" s="415"/>
      <c r="UOQ2" s="415"/>
      <c r="UOR2" s="415"/>
      <c r="UOS2" s="415"/>
      <c r="UOT2" s="415"/>
      <c r="UOU2" s="415"/>
      <c r="UOV2" s="415"/>
      <c r="UOW2" s="415"/>
      <c r="UOX2" s="415"/>
      <c r="UOY2" s="415"/>
      <c r="UOZ2" s="415"/>
      <c r="UPA2" s="415"/>
      <c r="UPB2" s="415"/>
      <c r="UPC2" s="415"/>
      <c r="UPD2" s="415"/>
      <c r="UPE2" s="415"/>
      <c r="UPF2" s="415"/>
      <c r="UPG2" s="415"/>
      <c r="UPH2" s="415"/>
      <c r="UPI2" s="415"/>
      <c r="UPJ2" s="415"/>
      <c r="UPK2" s="415"/>
      <c r="UPL2" s="415"/>
      <c r="UPM2" s="415"/>
      <c r="UPN2" s="415"/>
      <c r="UPO2" s="415"/>
      <c r="UPP2" s="415"/>
      <c r="UPQ2" s="415"/>
      <c r="UPR2" s="415"/>
      <c r="UPS2" s="415"/>
      <c r="UPT2" s="415"/>
      <c r="UPU2" s="415"/>
      <c r="UPV2" s="415"/>
      <c r="UPW2" s="415"/>
      <c r="UPX2" s="415"/>
      <c r="UPY2" s="415"/>
      <c r="UPZ2" s="415"/>
      <c r="UQA2" s="415"/>
      <c r="UQB2" s="415"/>
      <c r="UQC2" s="415"/>
      <c r="UQD2" s="415"/>
      <c r="UQE2" s="415"/>
      <c r="UQF2" s="415"/>
      <c r="UQG2" s="415"/>
      <c r="UQH2" s="415"/>
      <c r="UQI2" s="415"/>
      <c r="UQJ2" s="415"/>
      <c r="UQK2" s="415"/>
      <c r="UQL2" s="415"/>
      <c r="UQM2" s="415"/>
      <c r="UQN2" s="415"/>
      <c r="UQO2" s="415"/>
      <c r="UQP2" s="415"/>
      <c r="UQQ2" s="415"/>
      <c r="UQR2" s="415"/>
      <c r="UQS2" s="415"/>
      <c r="UQT2" s="415"/>
      <c r="UQU2" s="415"/>
      <c r="UQV2" s="415"/>
      <c r="UQW2" s="415"/>
      <c r="UQX2" s="415"/>
      <c r="UQY2" s="415"/>
      <c r="UQZ2" s="415"/>
      <c r="URA2" s="415"/>
      <c r="URB2" s="415"/>
      <c r="URC2" s="415"/>
      <c r="URD2" s="415"/>
      <c r="URE2" s="415"/>
      <c r="URF2" s="415"/>
      <c r="URG2" s="415"/>
      <c r="URH2" s="415"/>
      <c r="URI2" s="415"/>
      <c r="URJ2" s="415"/>
      <c r="URK2" s="415"/>
      <c r="URL2" s="415"/>
      <c r="URM2" s="415"/>
      <c r="URN2" s="415"/>
      <c r="URO2" s="415"/>
      <c r="URP2" s="415"/>
      <c r="URQ2" s="415"/>
      <c r="URR2" s="415"/>
      <c r="URS2" s="415"/>
      <c r="URT2" s="415"/>
      <c r="URU2" s="415"/>
      <c r="URV2" s="415"/>
      <c r="URW2" s="415"/>
      <c r="URX2" s="415"/>
      <c r="URY2" s="415"/>
      <c r="URZ2" s="415"/>
      <c r="USA2" s="415"/>
      <c r="USB2" s="415"/>
      <c r="USC2" s="415"/>
      <c r="USD2" s="415"/>
      <c r="USE2" s="415"/>
      <c r="USF2" s="415"/>
      <c r="USG2" s="415"/>
      <c r="USH2" s="415"/>
      <c r="USI2" s="415"/>
      <c r="USJ2" s="415"/>
      <c r="USK2" s="415"/>
      <c r="USL2" s="415"/>
      <c r="USM2" s="415"/>
      <c r="USN2" s="415"/>
      <c r="USO2" s="415"/>
      <c r="USP2" s="415"/>
      <c r="USQ2" s="415"/>
      <c r="USR2" s="415"/>
      <c r="USS2" s="415"/>
      <c r="UST2" s="415"/>
      <c r="USU2" s="415"/>
      <c r="USV2" s="415"/>
      <c r="USW2" s="415"/>
      <c r="USX2" s="415"/>
      <c r="USY2" s="415"/>
      <c r="USZ2" s="415"/>
      <c r="UTA2" s="415"/>
      <c r="UTB2" s="415"/>
      <c r="UTC2" s="415"/>
      <c r="UTD2" s="415"/>
      <c r="UTE2" s="415"/>
      <c r="UTF2" s="415"/>
      <c r="UTG2" s="415"/>
      <c r="UTH2" s="415"/>
      <c r="UTI2" s="415"/>
      <c r="UTJ2" s="415"/>
      <c r="UTK2" s="415"/>
      <c r="UTL2" s="415"/>
      <c r="UTM2" s="415"/>
      <c r="UTN2" s="415"/>
      <c r="UTO2" s="415"/>
      <c r="UTP2" s="415"/>
      <c r="UTQ2" s="415"/>
      <c r="UTR2" s="415"/>
      <c r="UTS2" s="415"/>
      <c r="UTT2" s="415"/>
      <c r="UTU2" s="415"/>
      <c r="UTV2" s="415"/>
      <c r="UTW2" s="415"/>
      <c r="UTX2" s="415"/>
      <c r="UTY2" s="415"/>
      <c r="UTZ2" s="415"/>
      <c r="UUA2" s="415"/>
      <c r="UUB2" s="415"/>
      <c r="UUC2" s="415"/>
      <c r="UUD2" s="415"/>
      <c r="UUE2" s="415"/>
      <c r="UUF2" s="415"/>
      <c r="UUG2" s="415"/>
      <c r="UUH2" s="415"/>
      <c r="UUI2" s="415"/>
      <c r="UUJ2" s="415"/>
      <c r="UUK2" s="415"/>
      <c r="UUL2" s="415"/>
      <c r="UUM2" s="415"/>
      <c r="UUN2" s="415"/>
      <c r="UUO2" s="415"/>
      <c r="UUP2" s="415"/>
      <c r="UUQ2" s="415"/>
      <c r="UUR2" s="415"/>
      <c r="UUS2" s="415"/>
      <c r="UUT2" s="415"/>
      <c r="UUU2" s="415"/>
      <c r="UUV2" s="415"/>
      <c r="UUW2" s="415"/>
      <c r="UUX2" s="415"/>
      <c r="UUY2" s="415"/>
      <c r="UUZ2" s="415"/>
      <c r="UVA2" s="415"/>
      <c r="UVB2" s="415"/>
      <c r="UVC2" s="415"/>
      <c r="UVD2" s="415"/>
      <c r="UVE2" s="415"/>
      <c r="UVF2" s="415"/>
      <c r="UVG2" s="415"/>
      <c r="UVH2" s="415"/>
      <c r="UVI2" s="415"/>
      <c r="UVJ2" s="415"/>
      <c r="UVK2" s="415"/>
      <c r="UVL2" s="415"/>
      <c r="UVM2" s="415"/>
      <c r="UVN2" s="415"/>
      <c r="UVO2" s="415"/>
      <c r="UVP2" s="415"/>
      <c r="UVQ2" s="415"/>
      <c r="UVR2" s="415"/>
      <c r="UVS2" s="415"/>
      <c r="UVT2" s="415"/>
      <c r="UVU2" s="415"/>
      <c r="UVV2" s="415"/>
      <c r="UVW2" s="415"/>
      <c r="UVX2" s="415"/>
      <c r="UVY2" s="415"/>
      <c r="UVZ2" s="415"/>
      <c r="UWA2" s="415"/>
      <c r="UWB2" s="415"/>
      <c r="UWC2" s="415"/>
      <c r="UWD2" s="415"/>
      <c r="UWE2" s="415"/>
      <c r="UWF2" s="415"/>
      <c r="UWG2" s="415"/>
      <c r="UWH2" s="415"/>
      <c r="UWI2" s="415"/>
      <c r="UWJ2" s="415"/>
      <c r="UWK2" s="415"/>
      <c r="UWL2" s="415"/>
      <c r="UWM2" s="415"/>
      <c r="UWN2" s="415"/>
      <c r="UWO2" s="415"/>
      <c r="UWP2" s="415"/>
      <c r="UWQ2" s="415"/>
      <c r="UWR2" s="415"/>
      <c r="UWS2" s="415"/>
      <c r="UWT2" s="415"/>
      <c r="UWU2" s="415"/>
      <c r="UWV2" s="415"/>
      <c r="UWW2" s="415"/>
      <c r="UWX2" s="415"/>
      <c r="UWY2" s="415"/>
      <c r="UWZ2" s="415"/>
      <c r="UXA2" s="415"/>
      <c r="UXB2" s="415"/>
      <c r="UXC2" s="415"/>
      <c r="UXD2" s="415"/>
      <c r="UXE2" s="415"/>
      <c r="UXF2" s="415"/>
      <c r="UXG2" s="415"/>
      <c r="UXH2" s="415"/>
      <c r="UXI2" s="415"/>
      <c r="UXJ2" s="415"/>
      <c r="UXK2" s="415"/>
      <c r="UXL2" s="415"/>
      <c r="UXM2" s="415"/>
      <c r="UXN2" s="415"/>
      <c r="UXO2" s="415"/>
      <c r="UXP2" s="415"/>
      <c r="UXQ2" s="415"/>
      <c r="UXR2" s="415"/>
      <c r="UXS2" s="415"/>
      <c r="UXT2" s="415"/>
      <c r="UXU2" s="415"/>
      <c r="UXV2" s="415"/>
      <c r="UXW2" s="415"/>
      <c r="UXX2" s="415"/>
      <c r="UXY2" s="415"/>
      <c r="UXZ2" s="415"/>
      <c r="UYA2" s="415"/>
      <c r="UYB2" s="415"/>
      <c r="UYC2" s="415"/>
      <c r="UYD2" s="415"/>
      <c r="UYE2" s="415"/>
      <c r="UYF2" s="415"/>
      <c r="UYG2" s="415"/>
      <c r="UYH2" s="415"/>
      <c r="UYI2" s="415"/>
      <c r="UYJ2" s="415"/>
      <c r="UYK2" s="415"/>
      <c r="UYL2" s="415"/>
      <c r="UYM2" s="415"/>
      <c r="UYN2" s="415"/>
      <c r="UYO2" s="415"/>
      <c r="UYP2" s="415"/>
      <c r="UYQ2" s="415"/>
      <c r="UYR2" s="415"/>
      <c r="UYS2" s="415"/>
      <c r="UYT2" s="415"/>
      <c r="UYU2" s="415"/>
      <c r="UYV2" s="415"/>
      <c r="UYW2" s="415"/>
      <c r="UYX2" s="415"/>
      <c r="UYY2" s="415"/>
      <c r="UYZ2" s="415"/>
      <c r="UZA2" s="415"/>
      <c r="UZB2" s="415"/>
      <c r="UZC2" s="415"/>
      <c r="UZD2" s="415"/>
      <c r="UZE2" s="415"/>
      <c r="UZF2" s="415"/>
      <c r="UZG2" s="415"/>
      <c r="UZH2" s="415"/>
      <c r="UZI2" s="415"/>
      <c r="UZJ2" s="415"/>
      <c r="UZK2" s="415"/>
      <c r="UZL2" s="415"/>
      <c r="UZM2" s="415"/>
      <c r="UZN2" s="415"/>
      <c r="UZO2" s="415"/>
      <c r="UZP2" s="415"/>
      <c r="UZQ2" s="415"/>
      <c r="UZR2" s="415"/>
      <c r="UZS2" s="415"/>
      <c r="UZT2" s="415"/>
      <c r="UZU2" s="415"/>
      <c r="UZV2" s="415"/>
      <c r="UZW2" s="415"/>
      <c r="UZX2" s="415"/>
      <c r="UZY2" s="415"/>
      <c r="UZZ2" s="415"/>
      <c r="VAA2" s="415"/>
      <c r="VAB2" s="415"/>
      <c r="VAC2" s="415"/>
      <c r="VAD2" s="415"/>
      <c r="VAE2" s="415"/>
      <c r="VAF2" s="415"/>
      <c r="VAG2" s="415"/>
      <c r="VAH2" s="415"/>
      <c r="VAI2" s="415"/>
      <c r="VAJ2" s="415"/>
      <c r="VAK2" s="415"/>
      <c r="VAL2" s="415"/>
      <c r="VAM2" s="415"/>
      <c r="VAN2" s="415"/>
      <c r="VAO2" s="415"/>
      <c r="VAP2" s="415"/>
      <c r="VAQ2" s="415"/>
      <c r="VAR2" s="415"/>
      <c r="VAS2" s="415"/>
      <c r="VAT2" s="415"/>
      <c r="VAU2" s="415"/>
      <c r="VAV2" s="415"/>
      <c r="VAW2" s="415"/>
      <c r="VAX2" s="415"/>
      <c r="VAY2" s="415"/>
      <c r="VAZ2" s="415"/>
      <c r="VBA2" s="415"/>
      <c r="VBB2" s="415"/>
      <c r="VBC2" s="415"/>
      <c r="VBD2" s="415"/>
      <c r="VBE2" s="415"/>
      <c r="VBF2" s="415"/>
      <c r="VBG2" s="415"/>
      <c r="VBH2" s="415"/>
      <c r="VBI2" s="415"/>
      <c r="VBJ2" s="415"/>
      <c r="VBK2" s="415"/>
      <c r="VBL2" s="415"/>
      <c r="VBM2" s="415"/>
      <c r="VBN2" s="415"/>
      <c r="VBO2" s="415"/>
      <c r="VBP2" s="415"/>
      <c r="VBQ2" s="415"/>
      <c r="VBR2" s="415"/>
      <c r="VBS2" s="415"/>
      <c r="VBT2" s="415"/>
      <c r="VBU2" s="415"/>
      <c r="VBV2" s="415"/>
      <c r="VBW2" s="415"/>
      <c r="VBX2" s="415"/>
      <c r="VBY2" s="415"/>
      <c r="VBZ2" s="415"/>
      <c r="VCA2" s="415"/>
      <c r="VCB2" s="415"/>
      <c r="VCC2" s="415"/>
      <c r="VCD2" s="415"/>
      <c r="VCE2" s="415"/>
      <c r="VCF2" s="415"/>
      <c r="VCG2" s="415"/>
      <c r="VCH2" s="415"/>
      <c r="VCI2" s="415"/>
      <c r="VCJ2" s="415"/>
      <c r="VCK2" s="415"/>
      <c r="VCL2" s="415"/>
      <c r="VCM2" s="415"/>
      <c r="VCN2" s="415"/>
      <c r="VCO2" s="415"/>
      <c r="VCP2" s="415"/>
      <c r="VCQ2" s="415"/>
      <c r="VCR2" s="415"/>
      <c r="VCS2" s="415"/>
      <c r="VCT2" s="415"/>
      <c r="VCU2" s="415"/>
      <c r="VCV2" s="415"/>
      <c r="VCW2" s="415"/>
      <c r="VCX2" s="415"/>
      <c r="VCY2" s="415"/>
      <c r="VCZ2" s="415"/>
      <c r="VDA2" s="415"/>
      <c r="VDB2" s="415"/>
      <c r="VDC2" s="415"/>
      <c r="VDD2" s="415"/>
      <c r="VDE2" s="415"/>
      <c r="VDF2" s="415"/>
      <c r="VDG2" s="415"/>
      <c r="VDH2" s="415"/>
      <c r="VDI2" s="415"/>
      <c r="VDJ2" s="415"/>
      <c r="VDK2" s="415"/>
      <c r="VDL2" s="415"/>
      <c r="VDM2" s="415"/>
      <c r="VDN2" s="415"/>
      <c r="VDO2" s="415"/>
      <c r="VDP2" s="415"/>
      <c r="VDQ2" s="415"/>
      <c r="VDR2" s="415"/>
      <c r="VDS2" s="415"/>
      <c r="VDT2" s="415"/>
      <c r="VDU2" s="415"/>
      <c r="VDV2" s="415"/>
      <c r="VDW2" s="415"/>
      <c r="VDX2" s="415"/>
      <c r="VDY2" s="415"/>
      <c r="VDZ2" s="415"/>
      <c r="VEA2" s="415"/>
      <c r="VEB2" s="415"/>
      <c r="VEC2" s="415"/>
      <c r="VED2" s="415"/>
      <c r="VEE2" s="415"/>
      <c r="VEF2" s="415"/>
      <c r="VEG2" s="415"/>
      <c r="VEH2" s="415"/>
      <c r="VEI2" s="415"/>
      <c r="VEJ2" s="415"/>
      <c r="VEK2" s="415"/>
      <c r="VEL2" s="415"/>
      <c r="VEM2" s="415"/>
      <c r="VEN2" s="415"/>
      <c r="VEO2" s="415"/>
      <c r="VEP2" s="415"/>
      <c r="VEQ2" s="415"/>
      <c r="VER2" s="415"/>
      <c r="VES2" s="415"/>
      <c r="VET2" s="415"/>
      <c r="VEU2" s="415"/>
      <c r="VEV2" s="415"/>
      <c r="VEW2" s="415"/>
      <c r="VEX2" s="415"/>
      <c r="VEY2" s="415"/>
      <c r="VEZ2" s="415"/>
      <c r="VFA2" s="415"/>
      <c r="VFB2" s="415"/>
      <c r="VFC2" s="415"/>
      <c r="VFD2" s="415"/>
      <c r="VFE2" s="415"/>
      <c r="VFF2" s="415"/>
      <c r="VFG2" s="415"/>
      <c r="VFH2" s="415"/>
      <c r="VFI2" s="415"/>
      <c r="VFJ2" s="415"/>
      <c r="VFK2" s="415"/>
      <c r="VFL2" s="415"/>
      <c r="VFM2" s="415"/>
      <c r="VFN2" s="415"/>
      <c r="VFO2" s="415"/>
      <c r="VFP2" s="415"/>
      <c r="VFQ2" s="415"/>
      <c r="VFR2" s="415"/>
      <c r="VFS2" s="415"/>
      <c r="VFT2" s="415"/>
      <c r="VFU2" s="415"/>
      <c r="VFV2" s="415"/>
      <c r="VFW2" s="415"/>
      <c r="VFX2" s="415"/>
      <c r="VFY2" s="415"/>
      <c r="VFZ2" s="415"/>
      <c r="VGA2" s="415"/>
      <c r="VGB2" s="415"/>
      <c r="VGC2" s="415"/>
      <c r="VGD2" s="415"/>
      <c r="VGE2" s="415"/>
      <c r="VGF2" s="415"/>
      <c r="VGG2" s="415"/>
      <c r="VGH2" s="415"/>
      <c r="VGI2" s="415"/>
      <c r="VGJ2" s="415"/>
      <c r="VGK2" s="415"/>
      <c r="VGL2" s="415"/>
      <c r="VGM2" s="415"/>
      <c r="VGN2" s="415"/>
      <c r="VGO2" s="415"/>
      <c r="VGP2" s="415"/>
      <c r="VGQ2" s="415"/>
      <c r="VGR2" s="415"/>
      <c r="VGS2" s="415"/>
      <c r="VGT2" s="415"/>
      <c r="VGU2" s="415"/>
      <c r="VGV2" s="415"/>
      <c r="VGW2" s="415"/>
      <c r="VGX2" s="415"/>
      <c r="VGY2" s="415"/>
      <c r="VGZ2" s="415"/>
      <c r="VHA2" s="415"/>
      <c r="VHB2" s="415"/>
      <c r="VHC2" s="415"/>
      <c r="VHD2" s="415"/>
      <c r="VHE2" s="415"/>
      <c r="VHF2" s="415"/>
      <c r="VHG2" s="415"/>
      <c r="VHH2" s="415"/>
      <c r="VHI2" s="415"/>
      <c r="VHJ2" s="415"/>
      <c r="VHK2" s="415"/>
      <c r="VHL2" s="415"/>
      <c r="VHM2" s="415"/>
      <c r="VHN2" s="415"/>
      <c r="VHO2" s="415"/>
      <c r="VHP2" s="415"/>
      <c r="VHQ2" s="415"/>
      <c r="VHR2" s="415"/>
      <c r="VHS2" s="415"/>
      <c r="VHT2" s="415"/>
      <c r="VHU2" s="415"/>
      <c r="VHV2" s="415"/>
      <c r="VHW2" s="415"/>
      <c r="VHX2" s="415"/>
      <c r="VHY2" s="415"/>
      <c r="VHZ2" s="415"/>
      <c r="VIA2" s="415"/>
      <c r="VIB2" s="415"/>
      <c r="VIC2" s="415"/>
      <c r="VID2" s="415"/>
      <c r="VIE2" s="415"/>
      <c r="VIF2" s="415"/>
      <c r="VIG2" s="415"/>
      <c r="VIH2" s="415"/>
      <c r="VII2" s="415"/>
      <c r="VIJ2" s="415"/>
      <c r="VIK2" s="415"/>
      <c r="VIL2" s="415"/>
      <c r="VIM2" s="415"/>
      <c r="VIN2" s="415"/>
      <c r="VIO2" s="415"/>
      <c r="VIP2" s="415"/>
      <c r="VIQ2" s="415"/>
      <c r="VIR2" s="415"/>
      <c r="VIS2" s="415"/>
      <c r="VIT2" s="415"/>
      <c r="VIU2" s="415"/>
      <c r="VIV2" s="415"/>
      <c r="VIW2" s="415"/>
      <c r="VIX2" s="415"/>
      <c r="VIY2" s="415"/>
      <c r="VIZ2" s="415"/>
      <c r="VJA2" s="415"/>
      <c r="VJB2" s="415"/>
      <c r="VJC2" s="415"/>
      <c r="VJD2" s="415"/>
      <c r="VJE2" s="415"/>
      <c r="VJF2" s="415"/>
      <c r="VJG2" s="415"/>
      <c r="VJH2" s="415"/>
      <c r="VJI2" s="415"/>
      <c r="VJJ2" s="415"/>
      <c r="VJK2" s="415"/>
      <c r="VJL2" s="415"/>
      <c r="VJM2" s="415"/>
      <c r="VJN2" s="415"/>
      <c r="VJO2" s="415"/>
      <c r="VJP2" s="415"/>
      <c r="VJQ2" s="415"/>
      <c r="VJR2" s="415"/>
      <c r="VJS2" s="415"/>
      <c r="VJT2" s="415"/>
      <c r="VJU2" s="415"/>
      <c r="VJV2" s="415"/>
      <c r="VJW2" s="415"/>
      <c r="VJX2" s="415"/>
      <c r="VJY2" s="415"/>
      <c r="VJZ2" s="415"/>
      <c r="VKA2" s="415"/>
      <c r="VKB2" s="415"/>
      <c r="VKC2" s="415"/>
      <c r="VKD2" s="415"/>
      <c r="VKE2" s="415"/>
      <c r="VKF2" s="415"/>
      <c r="VKG2" s="415"/>
      <c r="VKH2" s="415"/>
      <c r="VKI2" s="415"/>
      <c r="VKJ2" s="415"/>
      <c r="VKK2" s="415"/>
      <c r="VKL2" s="415"/>
      <c r="VKM2" s="415"/>
      <c r="VKN2" s="415"/>
      <c r="VKO2" s="415"/>
      <c r="VKP2" s="415"/>
      <c r="VKQ2" s="415"/>
      <c r="VKR2" s="415"/>
      <c r="VKS2" s="415"/>
      <c r="VKT2" s="415"/>
      <c r="VKU2" s="415"/>
      <c r="VKV2" s="415"/>
      <c r="VKW2" s="415"/>
      <c r="VKX2" s="415"/>
      <c r="VKY2" s="415"/>
      <c r="VKZ2" s="415"/>
      <c r="VLA2" s="415"/>
      <c r="VLB2" s="415"/>
      <c r="VLC2" s="415"/>
      <c r="VLD2" s="415"/>
      <c r="VLE2" s="415"/>
      <c r="VLF2" s="415"/>
      <c r="VLG2" s="415"/>
      <c r="VLH2" s="415"/>
      <c r="VLI2" s="415"/>
      <c r="VLJ2" s="415"/>
      <c r="VLK2" s="415"/>
      <c r="VLL2" s="415"/>
      <c r="VLM2" s="415"/>
      <c r="VLN2" s="415"/>
      <c r="VLO2" s="415"/>
      <c r="VLP2" s="415"/>
      <c r="VLQ2" s="415"/>
      <c r="VLR2" s="415"/>
      <c r="VLS2" s="415"/>
      <c r="VLT2" s="415"/>
      <c r="VLU2" s="415"/>
      <c r="VLV2" s="415"/>
      <c r="VLW2" s="415"/>
      <c r="VLX2" s="415"/>
      <c r="VLY2" s="415"/>
      <c r="VLZ2" s="415"/>
      <c r="VMA2" s="415"/>
      <c r="VMB2" s="415"/>
      <c r="VMC2" s="415"/>
      <c r="VMD2" s="415"/>
      <c r="VME2" s="415"/>
      <c r="VMF2" s="415"/>
      <c r="VMG2" s="415"/>
      <c r="VMH2" s="415"/>
      <c r="VMI2" s="415"/>
      <c r="VMJ2" s="415"/>
      <c r="VMK2" s="415"/>
      <c r="VML2" s="415"/>
      <c r="VMM2" s="415"/>
      <c r="VMN2" s="415"/>
      <c r="VMO2" s="415"/>
      <c r="VMP2" s="415"/>
      <c r="VMQ2" s="415"/>
      <c r="VMR2" s="415"/>
      <c r="VMS2" s="415"/>
      <c r="VMT2" s="415"/>
      <c r="VMU2" s="415"/>
      <c r="VMV2" s="415"/>
      <c r="VMW2" s="415"/>
      <c r="VMX2" s="415"/>
      <c r="VMY2" s="415"/>
      <c r="VMZ2" s="415"/>
      <c r="VNA2" s="415"/>
      <c r="VNB2" s="415"/>
      <c r="VNC2" s="415"/>
      <c r="VND2" s="415"/>
      <c r="VNE2" s="415"/>
      <c r="VNF2" s="415"/>
      <c r="VNG2" s="415"/>
      <c r="VNH2" s="415"/>
      <c r="VNI2" s="415"/>
      <c r="VNJ2" s="415"/>
      <c r="VNK2" s="415"/>
      <c r="VNL2" s="415"/>
      <c r="VNM2" s="415"/>
      <c r="VNN2" s="415"/>
      <c r="VNO2" s="415"/>
      <c r="VNP2" s="415"/>
      <c r="VNQ2" s="415"/>
      <c r="VNR2" s="415"/>
      <c r="VNS2" s="415"/>
      <c r="VNT2" s="415"/>
      <c r="VNU2" s="415"/>
      <c r="VNV2" s="415"/>
      <c r="VNW2" s="415"/>
      <c r="VNX2" s="415"/>
      <c r="VNY2" s="415"/>
      <c r="VNZ2" s="415"/>
      <c r="VOA2" s="415"/>
      <c r="VOB2" s="415"/>
      <c r="VOC2" s="415"/>
      <c r="VOD2" s="415"/>
      <c r="VOE2" s="415"/>
      <c r="VOF2" s="415"/>
      <c r="VOG2" s="415"/>
      <c r="VOH2" s="415"/>
      <c r="VOI2" s="415"/>
      <c r="VOJ2" s="415"/>
      <c r="VOK2" s="415"/>
      <c r="VOL2" s="415"/>
      <c r="VOM2" s="415"/>
      <c r="VON2" s="415"/>
      <c r="VOO2" s="415"/>
      <c r="VOP2" s="415"/>
      <c r="VOQ2" s="415"/>
      <c r="VOR2" s="415"/>
      <c r="VOS2" s="415"/>
      <c r="VOT2" s="415"/>
      <c r="VOU2" s="415"/>
      <c r="VOV2" s="415"/>
      <c r="VOW2" s="415"/>
      <c r="VOX2" s="415"/>
      <c r="VOY2" s="415"/>
      <c r="VOZ2" s="415"/>
      <c r="VPA2" s="415"/>
      <c r="VPB2" s="415"/>
      <c r="VPC2" s="415"/>
      <c r="VPD2" s="415"/>
      <c r="VPE2" s="415"/>
      <c r="VPF2" s="415"/>
      <c r="VPG2" s="415"/>
      <c r="VPH2" s="415"/>
      <c r="VPI2" s="415"/>
      <c r="VPJ2" s="415"/>
      <c r="VPK2" s="415"/>
      <c r="VPL2" s="415"/>
      <c r="VPM2" s="415"/>
      <c r="VPN2" s="415"/>
      <c r="VPO2" s="415"/>
      <c r="VPP2" s="415"/>
      <c r="VPQ2" s="415"/>
      <c r="VPR2" s="415"/>
      <c r="VPS2" s="415"/>
      <c r="VPT2" s="415"/>
      <c r="VPU2" s="415"/>
      <c r="VPV2" s="415"/>
      <c r="VPW2" s="415"/>
      <c r="VPX2" s="415"/>
      <c r="VPY2" s="415"/>
      <c r="VPZ2" s="415"/>
      <c r="VQA2" s="415"/>
      <c r="VQB2" s="415"/>
      <c r="VQC2" s="415"/>
      <c r="VQD2" s="415"/>
      <c r="VQE2" s="415"/>
      <c r="VQF2" s="415"/>
      <c r="VQG2" s="415"/>
      <c r="VQH2" s="415"/>
      <c r="VQI2" s="415"/>
      <c r="VQJ2" s="415"/>
      <c r="VQK2" s="415"/>
      <c r="VQL2" s="415"/>
      <c r="VQM2" s="415"/>
      <c r="VQN2" s="415"/>
      <c r="VQO2" s="415"/>
      <c r="VQP2" s="415"/>
      <c r="VQQ2" s="415"/>
      <c r="VQR2" s="415"/>
      <c r="VQS2" s="415"/>
      <c r="VQT2" s="415"/>
      <c r="VQU2" s="415"/>
      <c r="VQV2" s="415"/>
      <c r="VQW2" s="415"/>
      <c r="VQX2" s="415"/>
      <c r="VQY2" s="415"/>
      <c r="VQZ2" s="415"/>
      <c r="VRA2" s="415"/>
      <c r="VRB2" s="415"/>
      <c r="VRC2" s="415"/>
      <c r="VRD2" s="415"/>
      <c r="VRE2" s="415"/>
      <c r="VRF2" s="415"/>
      <c r="VRG2" s="415"/>
      <c r="VRH2" s="415"/>
      <c r="VRI2" s="415"/>
      <c r="VRJ2" s="415"/>
      <c r="VRK2" s="415"/>
      <c r="VRL2" s="415"/>
      <c r="VRM2" s="415"/>
      <c r="VRN2" s="415"/>
      <c r="VRO2" s="415"/>
      <c r="VRP2" s="415"/>
      <c r="VRQ2" s="415"/>
      <c r="VRR2" s="415"/>
      <c r="VRS2" s="415"/>
      <c r="VRT2" s="415"/>
      <c r="VRU2" s="415"/>
      <c r="VRV2" s="415"/>
      <c r="VRW2" s="415"/>
      <c r="VRX2" s="415"/>
      <c r="VRY2" s="415"/>
      <c r="VRZ2" s="415"/>
      <c r="VSA2" s="415"/>
      <c r="VSB2" s="415"/>
      <c r="VSC2" s="415"/>
      <c r="VSD2" s="415"/>
      <c r="VSE2" s="415"/>
      <c r="VSF2" s="415"/>
      <c r="VSG2" s="415"/>
      <c r="VSH2" s="415"/>
      <c r="VSI2" s="415"/>
      <c r="VSJ2" s="415"/>
      <c r="VSK2" s="415"/>
      <c r="VSL2" s="415"/>
      <c r="VSM2" s="415"/>
      <c r="VSN2" s="415"/>
      <c r="VSO2" s="415"/>
      <c r="VSP2" s="415"/>
      <c r="VSQ2" s="415"/>
      <c r="VSR2" s="415"/>
      <c r="VSS2" s="415"/>
      <c r="VST2" s="415"/>
      <c r="VSU2" s="415"/>
      <c r="VSV2" s="415"/>
      <c r="VSW2" s="415"/>
      <c r="VSX2" s="415"/>
      <c r="VSY2" s="415"/>
      <c r="VSZ2" s="415"/>
      <c r="VTA2" s="415"/>
      <c r="VTB2" s="415"/>
      <c r="VTC2" s="415"/>
      <c r="VTD2" s="415"/>
      <c r="VTE2" s="415"/>
      <c r="VTF2" s="415"/>
      <c r="VTG2" s="415"/>
      <c r="VTH2" s="415"/>
      <c r="VTI2" s="415"/>
      <c r="VTJ2" s="415"/>
      <c r="VTK2" s="415"/>
      <c r="VTL2" s="415"/>
      <c r="VTM2" s="415"/>
      <c r="VTN2" s="415"/>
      <c r="VTO2" s="415"/>
      <c r="VTP2" s="415"/>
      <c r="VTQ2" s="415"/>
      <c r="VTR2" s="415"/>
      <c r="VTS2" s="415"/>
      <c r="VTT2" s="415"/>
      <c r="VTU2" s="415"/>
      <c r="VTV2" s="415"/>
      <c r="VTW2" s="415"/>
      <c r="VTX2" s="415"/>
      <c r="VTY2" s="415"/>
      <c r="VTZ2" s="415"/>
      <c r="VUA2" s="415"/>
      <c r="VUB2" s="415"/>
      <c r="VUC2" s="415"/>
      <c r="VUD2" s="415"/>
      <c r="VUE2" s="415"/>
      <c r="VUF2" s="415"/>
      <c r="VUG2" s="415"/>
      <c r="VUH2" s="415"/>
      <c r="VUI2" s="415"/>
      <c r="VUJ2" s="415"/>
      <c r="VUK2" s="415"/>
      <c r="VUL2" s="415"/>
      <c r="VUM2" s="415"/>
      <c r="VUN2" s="415"/>
      <c r="VUO2" s="415"/>
      <c r="VUP2" s="415"/>
      <c r="VUQ2" s="415"/>
      <c r="VUR2" s="415"/>
      <c r="VUS2" s="415"/>
      <c r="VUT2" s="415"/>
      <c r="VUU2" s="415"/>
      <c r="VUV2" s="415"/>
      <c r="VUW2" s="415"/>
      <c r="VUX2" s="415"/>
      <c r="VUY2" s="415"/>
      <c r="VUZ2" s="415"/>
      <c r="VVA2" s="415"/>
      <c r="VVB2" s="415"/>
      <c r="VVC2" s="415"/>
      <c r="VVD2" s="415"/>
      <c r="VVE2" s="415"/>
      <c r="VVF2" s="415"/>
      <c r="VVG2" s="415"/>
      <c r="VVH2" s="415"/>
      <c r="VVI2" s="415"/>
      <c r="VVJ2" s="415"/>
      <c r="VVK2" s="415"/>
      <c r="VVL2" s="415"/>
      <c r="VVM2" s="415"/>
      <c r="VVN2" s="415"/>
      <c r="VVO2" s="415"/>
      <c r="VVP2" s="415"/>
      <c r="VVQ2" s="415"/>
      <c r="VVR2" s="415"/>
      <c r="VVS2" s="415"/>
      <c r="VVT2" s="415"/>
      <c r="VVU2" s="415"/>
      <c r="VVV2" s="415"/>
      <c r="VVW2" s="415"/>
      <c r="VVX2" s="415"/>
      <c r="VVY2" s="415"/>
      <c r="VVZ2" s="415"/>
      <c r="VWA2" s="415"/>
      <c r="VWB2" s="415"/>
      <c r="VWC2" s="415"/>
      <c r="VWD2" s="415"/>
      <c r="VWE2" s="415"/>
      <c r="VWF2" s="415"/>
      <c r="VWG2" s="415"/>
      <c r="VWH2" s="415"/>
      <c r="VWI2" s="415"/>
      <c r="VWJ2" s="415"/>
      <c r="VWK2" s="415"/>
      <c r="VWL2" s="415"/>
      <c r="VWM2" s="415"/>
      <c r="VWN2" s="415"/>
      <c r="VWO2" s="415"/>
      <c r="VWP2" s="415"/>
      <c r="VWQ2" s="415"/>
      <c r="VWR2" s="415"/>
      <c r="VWS2" s="415"/>
      <c r="VWT2" s="415"/>
      <c r="VWU2" s="415"/>
      <c r="VWV2" s="415"/>
      <c r="VWW2" s="415"/>
      <c r="VWX2" s="415"/>
      <c r="VWY2" s="415"/>
      <c r="VWZ2" s="415"/>
      <c r="VXA2" s="415"/>
      <c r="VXB2" s="415"/>
      <c r="VXC2" s="415"/>
      <c r="VXD2" s="415"/>
      <c r="VXE2" s="415"/>
      <c r="VXF2" s="415"/>
      <c r="VXG2" s="415"/>
      <c r="VXH2" s="415"/>
      <c r="VXI2" s="415"/>
      <c r="VXJ2" s="415"/>
      <c r="VXK2" s="415"/>
      <c r="VXL2" s="415"/>
      <c r="VXM2" s="415"/>
      <c r="VXN2" s="415"/>
      <c r="VXO2" s="415"/>
      <c r="VXP2" s="415"/>
      <c r="VXQ2" s="415"/>
      <c r="VXR2" s="415"/>
      <c r="VXS2" s="415"/>
      <c r="VXT2" s="415"/>
      <c r="VXU2" s="415"/>
      <c r="VXV2" s="415"/>
      <c r="VXW2" s="415"/>
      <c r="VXX2" s="415"/>
      <c r="VXY2" s="415"/>
      <c r="VXZ2" s="415"/>
      <c r="VYA2" s="415"/>
      <c r="VYB2" s="415"/>
      <c r="VYC2" s="415"/>
      <c r="VYD2" s="415"/>
      <c r="VYE2" s="415"/>
      <c r="VYF2" s="415"/>
      <c r="VYG2" s="415"/>
      <c r="VYH2" s="415"/>
      <c r="VYI2" s="415"/>
      <c r="VYJ2" s="415"/>
      <c r="VYK2" s="415"/>
      <c r="VYL2" s="415"/>
      <c r="VYM2" s="415"/>
      <c r="VYN2" s="415"/>
      <c r="VYO2" s="415"/>
      <c r="VYP2" s="415"/>
      <c r="VYQ2" s="415"/>
      <c r="VYR2" s="415"/>
      <c r="VYS2" s="415"/>
      <c r="VYT2" s="415"/>
      <c r="VYU2" s="415"/>
      <c r="VYV2" s="415"/>
      <c r="VYW2" s="415"/>
      <c r="VYX2" s="415"/>
      <c r="VYY2" s="415"/>
      <c r="VYZ2" s="415"/>
      <c r="VZA2" s="415"/>
      <c r="VZB2" s="415"/>
      <c r="VZC2" s="415"/>
      <c r="VZD2" s="415"/>
      <c r="VZE2" s="415"/>
      <c r="VZF2" s="415"/>
      <c r="VZG2" s="415"/>
      <c r="VZH2" s="415"/>
      <c r="VZI2" s="415"/>
      <c r="VZJ2" s="415"/>
      <c r="VZK2" s="415"/>
      <c r="VZL2" s="415"/>
      <c r="VZM2" s="415"/>
      <c r="VZN2" s="415"/>
      <c r="VZO2" s="415"/>
      <c r="VZP2" s="415"/>
      <c r="VZQ2" s="415"/>
      <c r="VZR2" s="415"/>
      <c r="VZS2" s="415"/>
      <c r="VZT2" s="415"/>
      <c r="VZU2" s="415"/>
      <c r="VZV2" s="415"/>
      <c r="VZW2" s="415"/>
      <c r="VZX2" s="415"/>
      <c r="VZY2" s="415"/>
      <c r="VZZ2" s="415"/>
      <c r="WAA2" s="415"/>
      <c r="WAB2" s="415"/>
      <c r="WAC2" s="415"/>
      <c r="WAD2" s="415"/>
      <c r="WAE2" s="415"/>
      <c r="WAF2" s="415"/>
      <c r="WAG2" s="415"/>
      <c r="WAH2" s="415"/>
      <c r="WAI2" s="415"/>
      <c r="WAJ2" s="415"/>
      <c r="WAK2" s="415"/>
      <c r="WAL2" s="415"/>
      <c r="WAM2" s="415"/>
      <c r="WAN2" s="415"/>
      <c r="WAO2" s="415"/>
      <c r="WAP2" s="415"/>
      <c r="WAQ2" s="415"/>
      <c r="WAR2" s="415"/>
      <c r="WAS2" s="415"/>
      <c r="WAT2" s="415"/>
      <c r="WAU2" s="415"/>
      <c r="WAV2" s="415"/>
      <c r="WAW2" s="415"/>
      <c r="WAX2" s="415"/>
      <c r="WAY2" s="415"/>
      <c r="WAZ2" s="415"/>
      <c r="WBA2" s="415"/>
      <c r="WBB2" s="415"/>
      <c r="WBC2" s="415"/>
      <c r="WBD2" s="415"/>
      <c r="WBE2" s="415"/>
      <c r="WBF2" s="415"/>
      <c r="WBG2" s="415"/>
      <c r="WBH2" s="415"/>
      <c r="WBI2" s="415"/>
      <c r="WBJ2" s="415"/>
      <c r="WBK2" s="415"/>
      <c r="WBL2" s="415"/>
      <c r="WBM2" s="415"/>
      <c r="WBN2" s="415"/>
      <c r="WBO2" s="415"/>
      <c r="WBP2" s="415"/>
      <c r="WBQ2" s="415"/>
      <c r="WBR2" s="415"/>
      <c r="WBS2" s="415"/>
      <c r="WBT2" s="415"/>
      <c r="WBU2" s="415"/>
      <c r="WBV2" s="415"/>
      <c r="WBW2" s="415"/>
      <c r="WBX2" s="415"/>
      <c r="WBY2" s="415"/>
      <c r="WBZ2" s="415"/>
      <c r="WCA2" s="415"/>
      <c r="WCB2" s="415"/>
      <c r="WCC2" s="415"/>
      <c r="WCD2" s="415"/>
      <c r="WCE2" s="415"/>
      <c r="WCF2" s="415"/>
      <c r="WCG2" s="415"/>
      <c r="WCH2" s="415"/>
      <c r="WCI2" s="415"/>
      <c r="WCJ2" s="415"/>
      <c r="WCK2" s="415"/>
      <c r="WCL2" s="415"/>
      <c r="WCM2" s="415"/>
      <c r="WCN2" s="415"/>
      <c r="WCO2" s="415"/>
      <c r="WCP2" s="415"/>
      <c r="WCQ2" s="415"/>
      <c r="WCR2" s="415"/>
      <c r="WCS2" s="415"/>
      <c r="WCT2" s="415"/>
      <c r="WCU2" s="415"/>
      <c r="WCV2" s="415"/>
      <c r="WCW2" s="415"/>
      <c r="WCX2" s="415"/>
      <c r="WCY2" s="415"/>
      <c r="WCZ2" s="415"/>
      <c r="WDA2" s="415"/>
      <c r="WDB2" s="415"/>
      <c r="WDC2" s="415"/>
      <c r="WDD2" s="415"/>
      <c r="WDE2" s="415"/>
      <c r="WDF2" s="415"/>
      <c r="WDG2" s="415"/>
      <c r="WDH2" s="415"/>
      <c r="WDI2" s="415"/>
      <c r="WDJ2" s="415"/>
      <c r="WDK2" s="415"/>
      <c r="WDL2" s="415"/>
      <c r="WDM2" s="415"/>
      <c r="WDN2" s="415"/>
      <c r="WDO2" s="415"/>
      <c r="WDP2" s="415"/>
      <c r="WDQ2" s="415"/>
      <c r="WDR2" s="415"/>
      <c r="WDS2" s="415"/>
      <c r="WDT2" s="415"/>
      <c r="WDU2" s="415"/>
      <c r="WDV2" s="415"/>
      <c r="WDW2" s="415"/>
      <c r="WDX2" s="415"/>
      <c r="WDY2" s="415"/>
      <c r="WDZ2" s="415"/>
      <c r="WEA2" s="415"/>
      <c r="WEB2" s="415"/>
      <c r="WEC2" s="415"/>
      <c r="WED2" s="415"/>
      <c r="WEE2" s="415"/>
      <c r="WEF2" s="415"/>
      <c r="WEG2" s="415"/>
      <c r="WEH2" s="415"/>
      <c r="WEI2" s="415"/>
      <c r="WEJ2" s="415"/>
      <c r="WEK2" s="415"/>
      <c r="WEL2" s="415"/>
      <c r="WEM2" s="415"/>
      <c r="WEN2" s="415"/>
      <c r="WEO2" s="415"/>
      <c r="WEP2" s="415"/>
      <c r="WEQ2" s="415"/>
      <c r="WER2" s="415"/>
      <c r="WES2" s="415"/>
      <c r="WET2" s="415"/>
      <c r="WEU2" s="415"/>
      <c r="WEV2" s="415"/>
      <c r="WEW2" s="415"/>
      <c r="WEX2" s="415"/>
      <c r="WEY2" s="415"/>
      <c r="WEZ2" s="415"/>
      <c r="WFA2" s="415"/>
      <c r="WFB2" s="415"/>
      <c r="WFC2" s="415"/>
      <c r="WFD2" s="415"/>
      <c r="WFE2" s="415"/>
      <c r="WFF2" s="415"/>
      <c r="WFG2" s="415"/>
      <c r="WFH2" s="415"/>
      <c r="WFI2" s="415"/>
      <c r="WFJ2" s="415"/>
      <c r="WFK2" s="415"/>
      <c r="WFL2" s="415"/>
      <c r="WFM2" s="415"/>
      <c r="WFN2" s="415"/>
      <c r="WFO2" s="415"/>
      <c r="WFP2" s="415"/>
      <c r="WFQ2" s="415"/>
      <c r="WFR2" s="415"/>
      <c r="WFS2" s="415"/>
      <c r="WFT2" s="415"/>
      <c r="WFU2" s="415"/>
      <c r="WFV2" s="415"/>
      <c r="WFW2" s="415"/>
      <c r="WFX2" s="415"/>
      <c r="WFY2" s="415"/>
      <c r="WFZ2" s="415"/>
      <c r="WGA2" s="415"/>
      <c r="WGB2" s="415"/>
      <c r="WGC2" s="415"/>
      <c r="WGD2" s="415"/>
      <c r="WGE2" s="415"/>
      <c r="WGF2" s="415"/>
      <c r="WGG2" s="415"/>
      <c r="WGH2" s="415"/>
      <c r="WGI2" s="415"/>
      <c r="WGJ2" s="415"/>
      <c r="WGK2" s="415"/>
      <c r="WGL2" s="415"/>
      <c r="WGM2" s="415"/>
      <c r="WGN2" s="415"/>
      <c r="WGO2" s="415"/>
      <c r="WGP2" s="415"/>
      <c r="WGQ2" s="415"/>
      <c r="WGR2" s="415"/>
      <c r="WGS2" s="415"/>
      <c r="WGT2" s="415"/>
      <c r="WGU2" s="415"/>
      <c r="WGV2" s="415"/>
      <c r="WGW2" s="415"/>
      <c r="WGX2" s="415"/>
      <c r="WGY2" s="415"/>
      <c r="WGZ2" s="415"/>
      <c r="WHA2" s="415"/>
      <c r="WHB2" s="415"/>
      <c r="WHC2" s="415"/>
      <c r="WHD2" s="415"/>
      <c r="WHE2" s="415"/>
      <c r="WHF2" s="415"/>
      <c r="WHG2" s="415"/>
      <c r="WHH2" s="415"/>
      <c r="WHI2" s="415"/>
      <c r="WHJ2" s="415"/>
      <c r="WHK2" s="415"/>
      <c r="WHL2" s="415"/>
      <c r="WHM2" s="415"/>
      <c r="WHN2" s="415"/>
      <c r="WHO2" s="415"/>
      <c r="WHP2" s="415"/>
      <c r="WHQ2" s="415"/>
      <c r="WHR2" s="415"/>
      <c r="WHS2" s="415"/>
      <c r="WHT2" s="415"/>
      <c r="WHU2" s="415"/>
      <c r="WHV2" s="415"/>
      <c r="WHW2" s="415"/>
      <c r="WHX2" s="415"/>
      <c r="WHY2" s="415"/>
      <c r="WHZ2" s="415"/>
      <c r="WIA2" s="415"/>
      <c r="WIB2" s="415"/>
      <c r="WIC2" s="415"/>
      <c r="WID2" s="415"/>
      <c r="WIE2" s="415"/>
      <c r="WIF2" s="415"/>
      <c r="WIG2" s="415"/>
      <c r="WIH2" s="415"/>
      <c r="WII2" s="415"/>
      <c r="WIJ2" s="415"/>
      <c r="WIK2" s="415"/>
      <c r="WIL2" s="415"/>
      <c r="WIM2" s="415"/>
      <c r="WIN2" s="415"/>
      <c r="WIO2" s="415"/>
      <c r="WIP2" s="415"/>
      <c r="WIQ2" s="415"/>
      <c r="WIR2" s="415"/>
      <c r="WIS2" s="415"/>
      <c r="WIT2" s="415"/>
      <c r="WIU2" s="415"/>
      <c r="WIV2" s="415"/>
      <c r="WIW2" s="415"/>
      <c r="WIX2" s="415"/>
      <c r="WIY2" s="415"/>
      <c r="WIZ2" s="415"/>
      <c r="WJA2" s="415"/>
      <c r="WJB2" s="415"/>
      <c r="WJC2" s="415"/>
      <c r="WJD2" s="415"/>
      <c r="WJE2" s="415"/>
      <c r="WJF2" s="415"/>
      <c r="WJG2" s="415"/>
      <c r="WJH2" s="415"/>
      <c r="WJI2" s="415"/>
      <c r="WJJ2" s="415"/>
      <c r="WJK2" s="415"/>
      <c r="WJL2" s="415"/>
      <c r="WJM2" s="415"/>
      <c r="WJN2" s="415"/>
      <c r="WJO2" s="415"/>
      <c r="WJP2" s="415"/>
      <c r="WJQ2" s="415"/>
      <c r="WJR2" s="415"/>
      <c r="WJS2" s="415"/>
      <c r="WJT2" s="415"/>
      <c r="WJU2" s="415"/>
      <c r="WJV2" s="415"/>
      <c r="WJW2" s="415"/>
      <c r="WJX2" s="415"/>
      <c r="WJY2" s="415"/>
      <c r="WJZ2" s="415"/>
      <c r="WKA2" s="415"/>
      <c r="WKB2" s="415"/>
      <c r="WKC2" s="415"/>
      <c r="WKD2" s="415"/>
      <c r="WKE2" s="415"/>
      <c r="WKF2" s="415"/>
      <c r="WKG2" s="415"/>
      <c r="WKH2" s="415"/>
      <c r="WKI2" s="415"/>
      <c r="WKJ2" s="415"/>
      <c r="WKK2" s="415"/>
      <c r="WKL2" s="415"/>
      <c r="WKM2" s="415"/>
      <c r="WKN2" s="415"/>
      <c r="WKO2" s="415"/>
      <c r="WKP2" s="415"/>
      <c r="WKQ2" s="415"/>
      <c r="WKR2" s="415"/>
      <c r="WKS2" s="415"/>
      <c r="WKT2" s="415"/>
      <c r="WKU2" s="415"/>
      <c r="WKV2" s="415"/>
      <c r="WKW2" s="415"/>
      <c r="WKX2" s="415"/>
      <c r="WKY2" s="415"/>
      <c r="WKZ2" s="415"/>
      <c r="WLA2" s="415"/>
      <c r="WLB2" s="415"/>
      <c r="WLC2" s="415"/>
      <c r="WLD2" s="415"/>
      <c r="WLE2" s="415"/>
      <c r="WLF2" s="415"/>
      <c r="WLG2" s="415"/>
      <c r="WLH2" s="415"/>
      <c r="WLI2" s="415"/>
      <c r="WLJ2" s="415"/>
      <c r="WLK2" s="415"/>
      <c r="WLL2" s="415"/>
      <c r="WLM2" s="415"/>
      <c r="WLN2" s="415"/>
      <c r="WLO2" s="415"/>
      <c r="WLP2" s="415"/>
      <c r="WLQ2" s="415"/>
      <c r="WLR2" s="415"/>
      <c r="WLS2" s="415"/>
      <c r="WLT2" s="415"/>
      <c r="WLU2" s="415"/>
      <c r="WLV2" s="415"/>
      <c r="WLW2" s="415"/>
      <c r="WLX2" s="415"/>
      <c r="WLY2" s="415"/>
      <c r="WLZ2" s="415"/>
      <c r="WMA2" s="415"/>
      <c r="WMB2" s="415"/>
      <c r="WMC2" s="415"/>
      <c r="WMD2" s="415"/>
      <c r="WME2" s="415"/>
      <c r="WMF2" s="415"/>
      <c r="WMG2" s="415"/>
      <c r="WMH2" s="415"/>
      <c r="WMI2" s="415"/>
      <c r="WMJ2" s="415"/>
      <c r="WMK2" s="415"/>
      <c r="WML2" s="415"/>
      <c r="WMM2" s="415"/>
      <c r="WMN2" s="415"/>
      <c r="WMO2" s="415"/>
      <c r="WMP2" s="415"/>
      <c r="WMQ2" s="415"/>
      <c r="WMR2" s="415"/>
      <c r="WMS2" s="415"/>
      <c r="WMT2" s="415"/>
      <c r="WMU2" s="415"/>
      <c r="WMV2" s="415"/>
      <c r="WMW2" s="415"/>
      <c r="WMX2" s="415"/>
      <c r="WMY2" s="415"/>
      <c r="WMZ2" s="415"/>
      <c r="WNA2" s="415"/>
      <c r="WNB2" s="415"/>
      <c r="WNC2" s="415"/>
      <c r="WND2" s="415"/>
      <c r="WNE2" s="415"/>
      <c r="WNF2" s="415"/>
      <c r="WNG2" s="415"/>
      <c r="WNH2" s="415"/>
      <c r="WNI2" s="415"/>
      <c r="WNJ2" s="415"/>
      <c r="WNK2" s="415"/>
      <c r="WNL2" s="415"/>
      <c r="WNM2" s="415"/>
      <c r="WNN2" s="415"/>
      <c r="WNO2" s="415"/>
      <c r="WNP2" s="415"/>
      <c r="WNQ2" s="415"/>
      <c r="WNR2" s="415"/>
      <c r="WNS2" s="415"/>
      <c r="WNT2" s="415"/>
      <c r="WNU2" s="415"/>
      <c r="WNV2" s="415"/>
      <c r="WNW2" s="415"/>
      <c r="WNX2" s="415"/>
      <c r="WNY2" s="415"/>
      <c r="WNZ2" s="415"/>
      <c r="WOA2" s="415"/>
      <c r="WOB2" s="415"/>
      <c r="WOC2" s="415"/>
      <c r="WOD2" s="415"/>
      <c r="WOE2" s="415"/>
      <c r="WOF2" s="415"/>
      <c r="WOG2" s="415"/>
      <c r="WOH2" s="415"/>
      <c r="WOI2" s="415"/>
      <c r="WOJ2" s="415"/>
      <c r="WOK2" s="415"/>
      <c r="WOL2" s="415"/>
      <c r="WOM2" s="415"/>
      <c r="WON2" s="415"/>
      <c r="WOO2" s="415"/>
      <c r="WOP2" s="415"/>
      <c r="WOQ2" s="415"/>
      <c r="WOR2" s="415"/>
      <c r="WOS2" s="415"/>
      <c r="WOT2" s="415"/>
      <c r="WOU2" s="415"/>
      <c r="WOV2" s="415"/>
      <c r="WOW2" s="415"/>
      <c r="WOX2" s="415"/>
      <c r="WOY2" s="415"/>
      <c r="WOZ2" s="415"/>
      <c r="WPA2" s="415"/>
      <c r="WPB2" s="415"/>
      <c r="WPC2" s="415"/>
      <c r="WPD2" s="415"/>
      <c r="WPE2" s="415"/>
      <c r="WPF2" s="415"/>
      <c r="WPG2" s="415"/>
      <c r="WPH2" s="415"/>
      <c r="WPI2" s="415"/>
      <c r="WPJ2" s="415"/>
      <c r="WPK2" s="415"/>
      <c r="WPL2" s="415"/>
      <c r="WPM2" s="415"/>
      <c r="WPN2" s="415"/>
      <c r="WPO2" s="415"/>
      <c r="WPP2" s="415"/>
      <c r="WPQ2" s="415"/>
      <c r="WPR2" s="415"/>
      <c r="WPS2" s="415"/>
      <c r="WPT2" s="415"/>
      <c r="WPU2" s="415"/>
      <c r="WPV2" s="415"/>
      <c r="WPW2" s="415"/>
      <c r="WPX2" s="415"/>
      <c r="WPY2" s="415"/>
      <c r="WPZ2" s="415"/>
      <c r="WQA2" s="415"/>
      <c r="WQB2" s="415"/>
      <c r="WQC2" s="415"/>
      <c r="WQD2" s="415"/>
      <c r="WQE2" s="415"/>
      <c r="WQF2" s="415"/>
      <c r="WQG2" s="415"/>
      <c r="WQH2" s="415"/>
      <c r="WQI2" s="415"/>
      <c r="WQJ2" s="415"/>
      <c r="WQK2" s="415"/>
      <c r="WQL2" s="415"/>
      <c r="WQM2" s="415"/>
      <c r="WQN2" s="415"/>
      <c r="WQO2" s="415"/>
      <c r="WQP2" s="415"/>
      <c r="WQQ2" s="415"/>
      <c r="WQR2" s="415"/>
      <c r="WQS2" s="415"/>
      <c r="WQT2" s="415"/>
      <c r="WQU2" s="415"/>
      <c r="WQV2" s="415"/>
      <c r="WQW2" s="415"/>
      <c r="WQX2" s="415"/>
      <c r="WQY2" s="415"/>
      <c r="WQZ2" s="415"/>
      <c r="WRA2" s="415"/>
      <c r="WRB2" s="415"/>
      <c r="WRC2" s="415"/>
      <c r="WRD2" s="415"/>
      <c r="WRE2" s="415"/>
      <c r="WRF2" s="415"/>
      <c r="WRG2" s="415"/>
      <c r="WRH2" s="415"/>
      <c r="WRI2" s="415"/>
      <c r="WRJ2" s="415"/>
      <c r="WRK2" s="415"/>
      <c r="WRL2" s="415"/>
      <c r="WRM2" s="415"/>
      <c r="WRN2" s="415"/>
      <c r="WRO2" s="415"/>
      <c r="WRP2" s="415"/>
      <c r="WRQ2" s="415"/>
      <c r="WRR2" s="415"/>
      <c r="WRS2" s="415"/>
      <c r="WRT2" s="415"/>
      <c r="WRU2" s="415"/>
      <c r="WRV2" s="415"/>
      <c r="WRW2" s="415"/>
      <c r="WRX2" s="415"/>
      <c r="WRY2" s="415"/>
      <c r="WRZ2" s="415"/>
      <c r="WSA2" s="415"/>
      <c r="WSB2" s="415"/>
      <c r="WSC2" s="415"/>
      <c r="WSD2" s="415"/>
      <c r="WSE2" s="415"/>
      <c r="WSF2" s="415"/>
      <c r="WSG2" s="415"/>
      <c r="WSH2" s="415"/>
      <c r="WSI2" s="415"/>
      <c r="WSJ2" s="415"/>
      <c r="WSK2" s="415"/>
      <c r="WSL2" s="415"/>
      <c r="WSM2" s="415"/>
      <c r="WSN2" s="415"/>
      <c r="WSO2" s="415"/>
      <c r="WSP2" s="415"/>
      <c r="WSQ2" s="415"/>
      <c r="WSR2" s="415"/>
      <c r="WSS2" s="415"/>
      <c r="WST2" s="415"/>
      <c r="WSU2" s="415"/>
      <c r="WSV2" s="415"/>
      <c r="WSW2" s="415"/>
      <c r="WSX2" s="415"/>
      <c r="WSY2" s="415"/>
      <c r="WSZ2" s="415"/>
      <c r="WTA2" s="415"/>
      <c r="WTB2" s="415"/>
      <c r="WTC2" s="415"/>
      <c r="WTD2" s="415"/>
      <c r="WTE2" s="415"/>
      <c r="WTF2" s="415"/>
      <c r="WTG2" s="415"/>
      <c r="WTH2" s="415"/>
      <c r="WTI2" s="415"/>
      <c r="WTJ2" s="415"/>
      <c r="WTK2" s="415"/>
      <c r="WTL2" s="415"/>
      <c r="WTM2" s="415"/>
      <c r="WTN2" s="415"/>
      <c r="WTO2" s="415"/>
      <c r="WTP2" s="415"/>
      <c r="WTQ2" s="415"/>
      <c r="WTR2" s="415"/>
      <c r="WTS2" s="415"/>
      <c r="WTT2" s="415"/>
      <c r="WTU2" s="415"/>
      <c r="WTV2" s="415"/>
      <c r="WTW2" s="415"/>
      <c r="WTX2" s="415"/>
      <c r="WTY2" s="415"/>
      <c r="WTZ2" s="415"/>
      <c r="WUA2" s="415"/>
      <c r="WUB2" s="415"/>
      <c r="WUC2" s="415"/>
      <c r="WUD2" s="415"/>
      <c r="WUE2" s="415"/>
      <c r="WUF2" s="415"/>
      <c r="WUG2" s="415"/>
      <c r="WUH2" s="415"/>
      <c r="WUI2" s="415"/>
      <c r="WUJ2" s="415"/>
      <c r="WUK2" s="415"/>
      <c r="WUL2" s="415"/>
      <c r="WUM2" s="415"/>
      <c r="WUN2" s="415"/>
      <c r="WUO2" s="415"/>
      <c r="WUP2" s="415"/>
      <c r="WUQ2" s="415"/>
      <c r="WUR2" s="415"/>
      <c r="WUS2" s="415"/>
      <c r="WUT2" s="415"/>
      <c r="WUU2" s="415"/>
      <c r="WUV2" s="415"/>
      <c r="WUW2" s="415"/>
      <c r="WUX2" s="415"/>
      <c r="WUY2" s="415"/>
      <c r="WUZ2" s="415"/>
      <c r="WVA2" s="415"/>
      <c r="WVB2" s="415"/>
      <c r="WVC2" s="415"/>
      <c r="WVD2" s="415"/>
      <c r="WVE2" s="415"/>
      <c r="WVF2" s="415"/>
      <c r="WVG2" s="415"/>
      <c r="WVH2" s="415"/>
      <c r="WVI2" s="415"/>
      <c r="WVJ2" s="415"/>
      <c r="WVK2" s="415"/>
      <c r="WVL2" s="415"/>
      <c r="WVM2" s="415"/>
      <c r="WVN2" s="415"/>
      <c r="WVO2" s="415"/>
      <c r="WVP2" s="415"/>
      <c r="WVQ2" s="415"/>
      <c r="WVR2" s="415"/>
      <c r="WVS2" s="415"/>
      <c r="WVT2" s="415"/>
      <c r="WVU2" s="415"/>
      <c r="WVV2" s="415"/>
      <c r="WVW2" s="415"/>
      <c r="WVX2" s="415"/>
      <c r="WVY2" s="415"/>
      <c r="WVZ2" s="415"/>
      <c r="WWA2" s="415"/>
      <c r="WWB2" s="415"/>
      <c r="WWC2" s="415"/>
      <c r="WWD2" s="415"/>
      <c r="WWE2" s="415"/>
      <c r="WWF2" s="415"/>
      <c r="WWG2" s="415"/>
      <c r="WWH2" s="415"/>
      <c r="WWI2" s="415"/>
      <c r="WWJ2" s="415"/>
      <c r="WWK2" s="415"/>
      <c r="WWL2" s="415"/>
      <c r="WWM2" s="415"/>
      <c r="WWN2" s="415"/>
      <c r="WWO2" s="415"/>
      <c r="WWP2" s="415"/>
      <c r="WWQ2" s="415"/>
      <c r="WWR2" s="415"/>
      <c r="WWS2" s="415"/>
      <c r="WWT2" s="415"/>
      <c r="WWU2" s="415"/>
      <c r="WWV2" s="415"/>
      <c r="WWW2" s="415"/>
      <c r="WWX2" s="415"/>
      <c r="WWY2" s="415"/>
      <c r="WWZ2" s="415"/>
      <c r="WXA2" s="415"/>
      <c r="WXB2" s="415"/>
      <c r="WXC2" s="415"/>
      <c r="WXD2" s="415"/>
      <c r="WXE2" s="415"/>
      <c r="WXF2" s="415"/>
      <c r="WXG2" s="415"/>
      <c r="WXH2" s="415"/>
      <c r="WXI2" s="415"/>
      <c r="WXJ2" s="415"/>
      <c r="WXK2" s="415"/>
      <c r="WXL2" s="415"/>
      <c r="WXM2" s="415"/>
      <c r="WXN2" s="415"/>
      <c r="WXO2" s="415"/>
      <c r="WXP2" s="415"/>
      <c r="WXQ2" s="415"/>
      <c r="WXR2" s="415"/>
      <c r="WXS2" s="415"/>
      <c r="WXT2" s="415"/>
      <c r="WXU2" s="415"/>
      <c r="WXV2" s="415"/>
      <c r="WXW2" s="415"/>
      <c r="WXX2" s="415"/>
      <c r="WXY2" s="415"/>
      <c r="WXZ2" s="415"/>
      <c r="WYA2" s="415"/>
      <c r="WYB2" s="415"/>
      <c r="WYC2" s="415"/>
      <c r="WYD2" s="415"/>
      <c r="WYE2" s="415"/>
      <c r="WYF2" s="415"/>
      <c r="WYG2" s="415"/>
      <c r="WYH2" s="415"/>
      <c r="WYI2" s="415"/>
      <c r="WYJ2" s="415"/>
      <c r="WYK2" s="415"/>
      <c r="WYL2" s="415"/>
      <c r="WYM2" s="415"/>
      <c r="WYN2" s="415"/>
      <c r="WYO2" s="415"/>
      <c r="WYP2" s="415"/>
      <c r="WYQ2" s="415"/>
      <c r="WYR2" s="415"/>
      <c r="WYS2" s="415"/>
      <c r="WYT2" s="415"/>
      <c r="WYU2" s="415"/>
      <c r="WYV2" s="415"/>
      <c r="WYW2" s="415"/>
      <c r="WYX2" s="415"/>
      <c r="WYY2" s="415"/>
      <c r="WYZ2" s="415"/>
      <c r="WZA2" s="415"/>
      <c r="WZB2" s="415"/>
      <c r="WZC2" s="415"/>
      <c r="WZD2" s="415"/>
      <c r="WZE2" s="415"/>
      <c r="WZF2" s="415"/>
      <c r="WZG2" s="415"/>
      <c r="WZH2" s="415"/>
      <c r="WZI2" s="415"/>
      <c r="WZJ2" s="415"/>
      <c r="WZK2" s="415"/>
      <c r="WZL2" s="415"/>
      <c r="WZM2" s="415"/>
      <c r="WZN2" s="415"/>
      <c r="WZO2" s="415"/>
      <c r="WZP2" s="415"/>
      <c r="WZQ2" s="415"/>
      <c r="WZR2" s="415"/>
      <c r="WZS2" s="415"/>
      <c r="WZT2" s="415"/>
      <c r="WZU2" s="415"/>
      <c r="WZV2" s="415"/>
      <c r="WZW2" s="415"/>
      <c r="WZX2" s="415"/>
      <c r="WZY2" s="415"/>
      <c r="WZZ2" s="415"/>
      <c r="XAA2" s="415"/>
      <c r="XAB2" s="415"/>
      <c r="XAC2" s="415"/>
      <c r="XAD2" s="415"/>
      <c r="XAE2" s="415"/>
      <c r="XAF2" s="415"/>
      <c r="XAG2" s="415"/>
      <c r="XAH2" s="415"/>
      <c r="XAI2" s="415"/>
      <c r="XAJ2" s="415"/>
      <c r="XAK2" s="415"/>
      <c r="XAL2" s="415"/>
      <c r="XAM2" s="415"/>
      <c r="XAN2" s="415"/>
      <c r="XAO2" s="415"/>
      <c r="XAP2" s="415"/>
      <c r="XAQ2" s="415"/>
      <c r="XAR2" s="415"/>
      <c r="XAS2" s="415"/>
      <c r="XAT2" s="415"/>
      <c r="XAU2" s="415"/>
      <c r="XAV2" s="415"/>
      <c r="XAW2" s="415"/>
      <c r="XAX2" s="415"/>
      <c r="XAY2" s="415"/>
      <c r="XAZ2" s="415"/>
      <c r="XBA2" s="415"/>
      <c r="XBB2" s="415"/>
      <c r="XBC2" s="415"/>
      <c r="XBD2" s="415"/>
      <c r="XBE2" s="415"/>
      <c r="XBF2" s="415"/>
      <c r="XBG2" s="415"/>
      <c r="XBH2" s="415"/>
      <c r="XBI2" s="415"/>
      <c r="XBJ2" s="415"/>
      <c r="XBK2" s="415"/>
      <c r="XBL2" s="415"/>
      <c r="XBM2" s="415"/>
      <c r="XBN2" s="415"/>
      <c r="XBO2" s="415"/>
      <c r="XBP2" s="415"/>
      <c r="XBQ2" s="415"/>
      <c r="XBR2" s="415"/>
      <c r="XBS2" s="415"/>
      <c r="XBT2" s="415"/>
      <c r="XBU2" s="415"/>
      <c r="XBV2" s="415"/>
      <c r="XBW2" s="415"/>
      <c r="XBX2" s="415"/>
      <c r="XBY2" s="415"/>
      <c r="XBZ2" s="415"/>
      <c r="XCA2" s="415"/>
      <c r="XCB2" s="415"/>
      <c r="XCC2" s="415"/>
      <c r="XCD2" s="415"/>
      <c r="XCE2" s="415"/>
      <c r="XCF2" s="415"/>
      <c r="XCG2" s="415"/>
      <c r="XCH2" s="415"/>
      <c r="XCI2" s="415"/>
      <c r="XCJ2" s="415"/>
      <c r="XCK2" s="415"/>
      <c r="XCL2" s="415"/>
      <c r="XCM2" s="415"/>
      <c r="XCN2" s="415"/>
      <c r="XCO2" s="415"/>
      <c r="XCP2" s="415"/>
      <c r="XCQ2" s="415"/>
      <c r="XCR2" s="415"/>
      <c r="XCS2" s="415"/>
      <c r="XCT2" s="415"/>
      <c r="XCU2" s="415"/>
      <c r="XCV2" s="415"/>
      <c r="XCW2" s="415"/>
      <c r="XCX2" s="415"/>
      <c r="XCY2" s="415"/>
      <c r="XCZ2" s="415"/>
      <c r="XDA2" s="415"/>
      <c r="XDB2" s="415"/>
      <c r="XDC2" s="415"/>
      <c r="XDD2" s="415"/>
      <c r="XDE2" s="415"/>
      <c r="XDF2" s="415"/>
      <c r="XDG2" s="415"/>
      <c r="XDH2" s="415"/>
      <c r="XDI2" s="415"/>
      <c r="XDJ2" s="415"/>
      <c r="XDK2" s="415"/>
      <c r="XDL2" s="415"/>
      <c r="XDM2" s="415"/>
      <c r="XDN2" s="415"/>
      <c r="XDO2" s="415"/>
      <c r="XDP2" s="415"/>
      <c r="XDQ2" s="415"/>
      <c r="XDR2" s="415"/>
      <c r="XDS2" s="415"/>
      <c r="XDT2" s="415"/>
      <c r="XDU2" s="415"/>
      <c r="XDV2" s="415"/>
      <c r="XDW2" s="415"/>
      <c r="XDX2" s="415"/>
      <c r="XDY2" s="415"/>
      <c r="XDZ2" s="415"/>
      <c r="XEA2" s="415"/>
      <c r="XEB2" s="415"/>
      <c r="XEC2" s="415"/>
      <c r="XED2" s="415"/>
      <c r="XEE2" s="415"/>
      <c r="XEF2" s="415"/>
      <c r="XEG2" s="415"/>
      <c r="XEH2" s="415"/>
      <c r="XEI2" s="415"/>
      <c r="XEJ2" s="415"/>
      <c r="XEK2" s="415"/>
      <c r="XEL2" s="415"/>
      <c r="XEM2" s="415"/>
      <c r="XEN2" s="415"/>
      <c r="XEO2" s="415"/>
      <c r="XEP2" s="415"/>
      <c r="XEQ2" s="415"/>
      <c r="XER2" s="415"/>
      <c r="XES2" s="415"/>
      <c r="XET2" s="415"/>
      <c r="XEU2" s="415"/>
      <c r="XEV2" s="415"/>
      <c r="XEW2" s="415"/>
      <c r="XEX2" s="415"/>
      <c r="XEY2" s="415"/>
      <c r="XEZ2" s="415"/>
      <c r="XFA2" s="415"/>
      <c r="XFB2" s="415"/>
      <c r="XFC2" s="415"/>
      <c r="XFD2" s="415"/>
    </row>
    <row r="4" spans="1:16384" ht="20.100000000000001" customHeight="1" x14ac:dyDescent="0.3">
      <c r="A4" s="125" t="s">
        <v>2</v>
      </c>
      <c r="B4" s="125"/>
    </row>
    <row r="5" spans="1:16384" ht="20.100000000000001" customHeight="1" thickBot="1" x14ac:dyDescent="0.35"/>
    <row r="6" spans="1:16384" ht="20.100000000000001" customHeight="1" x14ac:dyDescent="0.3">
      <c r="A6" s="126" t="s">
        <v>3</v>
      </c>
      <c r="B6" s="126" t="s">
        <v>4</v>
      </c>
      <c r="C6" s="126" t="s">
        <v>5</v>
      </c>
      <c r="D6" s="128" t="s">
        <v>6</v>
      </c>
      <c r="F6" s="416" t="s">
        <v>7</v>
      </c>
      <c r="G6" s="417"/>
      <c r="H6" s="417"/>
      <c r="I6" s="417"/>
      <c r="J6" s="417"/>
      <c r="K6" s="417"/>
      <c r="L6" s="418"/>
    </row>
    <row r="7" spans="1:16384" ht="20.100000000000001" customHeight="1" x14ac:dyDescent="0.3">
      <c r="A7" s="130" t="s">
        <v>8</v>
      </c>
      <c r="B7" s="127" t="s">
        <v>9</v>
      </c>
      <c r="C7" s="112" t="s">
        <v>10</v>
      </c>
      <c r="D7" s="129" t="s">
        <v>11</v>
      </c>
      <c r="F7" s="419"/>
      <c r="G7" s="420"/>
      <c r="H7" s="420"/>
      <c r="I7" s="420"/>
      <c r="J7" s="420"/>
      <c r="K7" s="420"/>
      <c r="L7" s="421"/>
    </row>
    <row r="8" spans="1:16384" ht="20.100000000000001" customHeight="1" x14ac:dyDescent="0.3">
      <c r="A8" s="130" t="s">
        <v>12</v>
      </c>
      <c r="B8" s="127" t="s">
        <v>13</v>
      </c>
      <c r="C8" s="112" t="s">
        <v>14</v>
      </c>
      <c r="D8" s="129" t="s">
        <v>11</v>
      </c>
      <c r="F8" s="114"/>
      <c r="G8" s="115"/>
      <c r="H8" s="115"/>
      <c r="I8" s="115"/>
      <c r="J8" s="115"/>
      <c r="K8" s="115"/>
      <c r="L8" s="116"/>
    </row>
    <row r="9" spans="1:16384" ht="20.100000000000001" customHeight="1" x14ac:dyDescent="0.3">
      <c r="A9" s="130" t="s">
        <v>15</v>
      </c>
      <c r="B9" s="127" t="s">
        <v>16</v>
      </c>
      <c r="C9" s="112" t="s">
        <v>17</v>
      </c>
      <c r="D9" s="129" t="s">
        <v>11</v>
      </c>
      <c r="F9" s="117" t="s">
        <v>18</v>
      </c>
      <c r="G9" s="118" t="s">
        <v>19</v>
      </c>
      <c r="H9" s="115"/>
      <c r="I9" s="115"/>
      <c r="J9" s="115"/>
      <c r="K9" s="115"/>
      <c r="L9" s="116"/>
    </row>
    <row r="10" spans="1:16384" ht="20.100000000000001" customHeight="1" x14ac:dyDescent="0.3">
      <c r="A10" s="130" t="s">
        <v>20</v>
      </c>
      <c r="B10" s="127" t="s">
        <v>21</v>
      </c>
      <c r="C10" s="112" t="s">
        <v>22</v>
      </c>
      <c r="D10" s="129" t="s">
        <v>23</v>
      </c>
      <c r="F10" s="119" t="s">
        <v>24</v>
      </c>
      <c r="G10" s="120" t="s">
        <v>25</v>
      </c>
      <c r="H10" s="115"/>
      <c r="I10" s="115"/>
      <c r="J10" s="115"/>
      <c r="K10" s="115"/>
      <c r="L10" s="116"/>
    </row>
    <row r="11" spans="1:16384" ht="20.100000000000001" customHeight="1" x14ac:dyDescent="0.3">
      <c r="A11" s="130" t="s">
        <v>26</v>
      </c>
      <c r="B11" s="127" t="s">
        <v>27</v>
      </c>
      <c r="C11" s="112" t="s">
        <v>28</v>
      </c>
      <c r="D11" s="129" t="s">
        <v>29</v>
      </c>
      <c r="F11" s="121" t="s">
        <v>30</v>
      </c>
      <c r="G11" s="122" t="s">
        <v>31</v>
      </c>
      <c r="H11" s="115"/>
      <c r="I11" s="115"/>
      <c r="J11" s="115"/>
      <c r="K11" s="115"/>
      <c r="L11" s="116"/>
    </row>
    <row r="12" spans="1:16384" ht="20.100000000000001" customHeight="1" x14ac:dyDescent="0.3">
      <c r="A12" s="130" t="s">
        <v>32</v>
      </c>
      <c r="B12" s="127" t="s">
        <v>33</v>
      </c>
      <c r="C12" s="112" t="s">
        <v>34</v>
      </c>
      <c r="D12" s="129" t="s">
        <v>11</v>
      </c>
      <c r="F12" s="114"/>
      <c r="G12" s="115"/>
      <c r="H12" s="115"/>
      <c r="I12" s="115"/>
      <c r="J12" s="115"/>
      <c r="K12" s="115"/>
      <c r="L12" s="116"/>
    </row>
    <row r="13" spans="1:16384" ht="20.100000000000001" customHeight="1" x14ac:dyDescent="0.3">
      <c r="A13" s="130" t="s">
        <v>35</v>
      </c>
      <c r="B13" s="127" t="s">
        <v>36</v>
      </c>
      <c r="C13" s="112" t="s">
        <v>37</v>
      </c>
      <c r="D13" s="129" t="s">
        <v>23</v>
      </c>
      <c r="F13" s="422" t="s">
        <v>38</v>
      </c>
      <c r="G13" s="423"/>
      <c r="H13" s="423"/>
      <c r="I13" s="423"/>
      <c r="J13" s="423"/>
      <c r="K13" s="423"/>
      <c r="L13" s="424"/>
    </row>
    <row r="14" spans="1:16384" ht="20.100000000000001" customHeight="1" x14ac:dyDescent="0.3">
      <c r="A14" s="130" t="s">
        <v>39</v>
      </c>
      <c r="B14" s="127" t="s">
        <v>40</v>
      </c>
      <c r="C14" s="111" t="s">
        <v>41</v>
      </c>
      <c r="D14" s="129" t="s">
        <v>23</v>
      </c>
      <c r="F14" s="422"/>
      <c r="G14" s="423"/>
      <c r="H14" s="423"/>
      <c r="I14" s="423"/>
      <c r="J14" s="423"/>
      <c r="K14" s="423"/>
      <c r="L14" s="424"/>
    </row>
    <row r="15" spans="1:16384" ht="20.100000000000001" customHeight="1" x14ac:dyDescent="0.3">
      <c r="A15" s="130" t="s">
        <v>42</v>
      </c>
      <c r="B15" s="127" t="s">
        <v>43</v>
      </c>
      <c r="C15" s="112" t="s">
        <v>44</v>
      </c>
      <c r="D15" s="129" t="s">
        <v>23</v>
      </c>
      <c r="F15" s="422"/>
      <c r="G15" s="423"/>
      <c r="H15" s="423"/>
      <c r="I15" s="423"/>
      <c r="J15" s="423"/>
      <c r="K15" s="423"/>
      <c r="L15" s="424"/>
    </row>
    <row r="16" spans="1:16384" ht="20.100000000000001" customHeight="1" thickBot="1" x14ac:dyDescent="0.35">
      <c r="A16" s="130" t="s">
        <v>45</v>
      </c>
      <c r="B16" s="127" t="s">
        <v>46</v>
      </c>
      <c r="C16" s="111" t="s">
        <v>47</v>
      </c>
      <c r="D16" s="129" t="s">
        <v>23</v>
      </c>
      <c r="F16" s="425"/>
      <c r="G16" s="426"/>
      <c r="H16" s="426"/>
      <c r="I16" s="426"/>
      <c r="J16" s="426"/>
      <c r="K16" s="426"/>
      <c r="L16" s="427"/>
    </row>
    <row r="17" spans="1:4" ht="20.100000000000001" customHeight="1" x14ac:dyDescent="0.3">
      <c r="A17" s="130" t="s">
        <v>48</v>
      </c>
      <c r="B17" s="127" t="s">
        <v>49</v>
      </c>
      <c r="C17" s="112" t="s">
        <v>50</v>
      </c>
      <c r="D17" s="129" t="s">
        <v>23</v>
      </c>
    </row>
    <row r="18" spans="1:4" ht="20.100000000000001" customHeight="1" x14ac:dyDescent="0.3">
      <c r="A18" s="130" t="s">
        <v>51</v>
      </c>
      <c r="B18" s="326" t="s">
        <v>52</v>
      </c>
      <c r="C18" s="325" t="s">
        <v>53</v>
      </c>
      <c r="D18" s="113" t="s">
        <v>23</v>
      </c>
    </row>
    <row r="19" spans="1:4" ht="20.100000000000001" customHeight="1" x14ac:dyDescent="0.3">
      <c r="A19" s="123"/>
      <c r="B19" s="123"/>
      <c r="C19" s="112"/>
      <c r="D19" s="113"/>
    </row>
    <row r="20" spans="1:4" ht="20.100000000000001" customHeight="1" x14ac:dyDescent="0.3">
      <c r="A20" s="111"/>
      <c r="B20" s="111"/>
      <c r="C20" s="111"/>
      <c r="D20" s="113"/>
    </row>
    <row r="21" spans="1:4" ht="20.100000000000001" customHeight="1" x14ac:dyDescent="0.3">
      <c r="A21" s="111"/>
      <c r="B21" s="111"/>
      <c r="C21" s="111"/>
      <c r="D21" s="113"/>
    </row>
    <row r="22" spans="1:4" ht="20.100000000000001" customHeight="1" x14ac:dyDescent="0.3">
      <c r="A22" s="111"/>
      <c r="B22" s="111"/>
      <c r="C22" s="111"/>
      <c r="D22" s="113"/>
    </row>
    <row r="23" spans="1:4" ht="20.100000000000001" customHeight="1" x14ac:dyDescent="0.3">
      <c r="A23" s="111"/>
      <c r="B23" s="111"/>
      <c r="C23" s="111"/>
      <c r="D23" s="113"/>
    </row>
    <row r="24" spans="1:4" ht="20.100000000000001" customHeight="1" x14ac:dyDescent="0.3">
      <c r="A24" s="111"/>
      <c r="B24" s="111"/>
      <c r="C24" s="111"/>
      <c r="D24" s="113"/>
    </row>
    <row r="25" spans="1:4" ht="20.100000000000001" customHeight="1" x14ac:dyDescent="0.3">
      <c r="A25" s="111"/>
      <c r="B25" s="111"/>
      <c r="C25" s="111"/>
      <c r="D25" s="113"/>
    </row>
    <row r="26" spans="1:4" ht="20.100000000000001" customHeight="1" x14ac:dyDescent="0.3">
      <c r="A26" s="111"/>
      <c r="B26" s="111"/>
      <c r="C26" s="112"/>
      <c r="D26" s="113"/>
    </row>
    <row r="27" spans="1:4" ht="20.100000000000001" customHeight="1" x14ac:dyDescent="0.3">
      <c r="A27" s="111"/>
      <c r="B27" s="111"/>
      <c r="C27" s="111"/>
      <c r="D27" s="113"/>
    </row>
    <row r="28" spans="1:4" ht="20.100000000000001" customHeight="1" x14ac:dyDescent="0.3">
      <c r="A28" s="111"/>
      <c r="B28" s="111"/>
      <c r="C28" s="112"/>
      <c r="D28" s="113"/>
    </row>
    <row r="29" spans="1:4" ht="20.100000000000001" customHeight="1" x14ac:dyDescent="0.3">
      <c r="A29" s="111"/>
      <c r="B29" s="111"/>
      <c r="C29" s="111"/>
      <c r="D29" s="113"/>
    </row>
    <row r="30" spans="1:4" ht="20.100000000000001" customHeight="1" x14ac:dyDescent="0.3">
      <c r="A30" s="111"/>
      <c r="B30" s="111"/>
      <c r="C30" s="111"/>
      <c r="D30" s="113"/>
    </row>
    <row r="31" spans="1:4" ht="20.100000000000001" customHeight="1" x14ac:dyDescent="0.3">
      <c r="A31" s="111"/>
      <c r="B31" s="111"/>
      <c r="C31" s="111"/>
      <c r="D31" s="113"/>
    </row>
    <row r="32" spans="1:4" ht="20.100000000000001" customHeight="1" x14ac:dyDescent="0.3">
      <c r="A32" s="111"/>
      <c r="B32" s="111"/>
      <c r="C32" s="111"/>
      <c r="D32" s="113"/>
    </row>
    <row r="33" spans="1:4" ht="20.100000000000001" customHeight="1" x14ac:dyDescent="0.3">
      <c r="A33" s="111"/>
      <c r="B33" s="111"/>
      <c r="C33" s="111"/>
      <c r="D33" s="113"/>
    </row>
    <row r="34" spans="1:4" ht="20.100000000000001" customHeight="1" x14ac:dyDescent="0.3">
      <c r="A34" s="111"/>
      <c r="B34" s="111"/>
      <c r="C34" s="111"/>
      <c r="D34" s="113"/>
    </row>
    <row r="35" spans="1:4" ht="20.100000000000001" customHeight="1" x14ac:dyDescent="0.3">
      <c r="A35" s="111"/>
      <c r="B35" s="111"/>
      <c r="C35" s="111"/>
      <c r="D35" s="113"/>
    </row>
    <row r="36" spans="1:4" ht="20.100000000000001" customHeight="1" x14ac:dyDescent="0.3">
      <c r="A36" s="111"/>
      <c r="B36" s="111"/>
      <c r="C36" s="111"/>
      <c r="D36" s="113"/>
    </row>
    <row r="37" spans="1:4" ht="20.100000000000001" customHeight="1" x14ac:dyDescent="0.3">
      <c r="A37" s="111"/>
      <c r="B37" s="111"/>
      <c r="C37" s="111"/>
      <c r="D37" s="113"/>
    </row>
    <row r="38" spans="1:4" ht="20.100000000000001" customHeight="1" x14ac:dyDescent="0.3">
      <c r="A38" s="111"/>
      <c r="B38" s="111"/>
      <c r="C38" s="111"/>
      <c r="D38" s="113"/>
    </row>
    <row r="39" spans="1:4" ht="20.100000000000001" customHeight="1" x14ac:dyDescent="0.3">
      <c r="D39" s="124"/>
    </row>
    <row r="40" spans="1:4" ht="20.100000000000001" customHeight="1" x14ac:dyDescent="0.3">
      <c r="D40" s="124"/>
    </row>
    <row r="41" spans="1:4" ht="20.100000000000001" customHeight="1" x14ac:dyDescent="0.3">
      <c r="D41" s="124"/>
    </row>
    <row r="42" spans="1:4" ht="20.100000000000001" customHeight="1" x14ac:dyDescent="0.3">
      <c r="D42" s="124"/>
    </row>
    <row r="43" spans="1:4" ht="20.100000000000001" customHeight="1" x14ac:dyDescent="0.3">
      <c r="D43" s="124"/>
    </row>
    <row r="44" spans="1:4" ht="20.100000000000001" customHeight="1" x14ac:dyDescent="0.3">
      <c r="D44" s="124"/>
    </row>
    <row r="45" spans="1:4" ht="20.100000000000001" customHeight="1" x14ac:dyDescent="0.3">
      <c r="D45" s="124"/>
    </row>
  </sheetData>
  <mergeCells count="4098"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XAG2:XAJ2"/>
    <mergeCell ref="XAK2:XAN2"/>
    <mergeCell ref="XAO2:XAR2"/>
    <mergeCell ref="XAS2:XAV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XEO2:XER2"/>
    <mergeCell ref="XES2:XEV2"/>
    <mergeCell ref="XEW2:XEZ2"/>
    <mergeCell ref="XFA2:XFD2"/>
    <mergeCell ref="F6:L7"/>
    <mergeCell ref="F13:L16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</mergeCells>
  <hyperlinks>
    <hyperlink ref="C7" r:id="rId1" xr:uid="{B696F1AC-3A82-4548-A495-6EF1A262F654}"/>
    <hyperlink ref="C8" r:id="rId2" display="https://ec.europa.eu/eurostat/data/database" xr:uid="{4589D63C-0042-4834-8302-B35FAFCF3AE5}"/>
    <hyperlink ref="C9" r:id="rId3" xr:uid="{6351B153-EE84-466E-B079-68DF96CDF362}"/>
    <hyperlink ref="C10" r:id="rId4" xr:uid="{02027C97-0B7C-492E-93E4-C019CB45E3D3}"/>
    <hyperlink ref="C11" r:id="rId5" xr:uid="{351D50DC-0659-490B-B20E-36A0354DD65E}"/>
    <hyperlink ref="C12" r:id="rId6" xr:uid="{813B4CD5-46CC-43DC-A266-BBF683199CB9}"/>
    <hyperlink ref="C13" r:id="rId7" xr:uid="{899BAB68-C9E4-4B4F-9698-DCE4F81467B9}"/>
    <hyperlink ref="C14" r:id="rId8" xr:uid="{0D1C7E95-CA56-4261-9EFF-7A186376F982}"/>
    <hyperlink ref="C16" r:id="rId9" xr:uid="{95FA290A-8955-4847-AC0E-4F3B737C2F95}"/>
    <hyperlink ref="C15" r:id="rId10" xr:uid="{CFBCA238-B3AA-4925-91D1-A43E1879E47F}"/>
    <hyperlink ref="C17" r:id="rId11" xr:uid="{6F995BC2-0642-49E9-84BA-8FF50076292C}"/>
    <hyperlink ref="C18" r:id="rId12" xr:uid="{8C6A0656-0BE2-4099-8CAE-6F9EB9D82D48}"/>
  </hyperlinks>
  <pageMargins left="0.7" right="0.7" top="0.75" bottom="0.75" header="0.3" footer="0.3"/>
  <pageSetup paperSize="9" orientation="portrait" horizontalDpi="300" verticalDpi="30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B127-898C-4A97-A230-39248AEF3AB2}">
  <sheetPr>
    <tabColor rgb="FF7030A0"/>
  </sheetPr>
  <dimension ref="A2:P185"/>
  <sheetViews>
    <sheetView zoomScale="70" zoomScaleNormal="70" workbookViewId="0">
      <pane xSplit="2" ySplit="2" topLeftCell="C88" activePane="bottomRight" state="frozen"/>
      <selection pane="topRight" activeCell="C1" sqref="C1"/>
      <selection pane="bottomLeft" activeCell="A3" sqref="A3"/>
      <selection pane="bottomRight" activeCell="P114" sqref="P114"/>
    </sheetView>
  </sheetViews>
  <sheetFormatPr defaultRowHeight="14.4" x14ac:dyDescent="0.3"/>
  <cols>
    <col min="1" max="1" width="48" customWidth="1"/>
    <col min="2" max="2" width="13.88671875" bestFit="1" customWidth="1"/>
    <col min="3" max="3" width="11.109375" bestFit="1" customWidth="1"/>
    <col min="15" max="15" width="16.6640625" customWidth="1"/>
    <col min="16" max="16" width="38" customWidth="1"/>
  </cols>
  <sheetData>
    <row r="2" spans="1:16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" x14ac:dyDescent="0.3">
      <c r="A5" s="2" t="s">
        <v>959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6" x14ac:dyDescent="0.3">
      <c r="A7" s="12" t="s">
        <v>960</v>
      </c>
      <c r="B7" s="197" t="s">
        <v>84</v>
      </c>
      <c r="C7" s="17">
        <v>609</v>
      </c>
      <c r="D7" s="17">
        <v>585</v>
      </c>
      <c r="E7" s="17">
        <v>597</v>
      </c>
      <c r="F7" s="17">
        <v>590.20000000000005</v>
      </c>
      <c r="G7" s="17">
        <v>582</v>
      </c>
      <c r="H7" s="17">
        <v>580.70000000000005</v>
      </c>
      <c r="I7" s="17">
        <v>588</v>
      </c>
      <c r="J7" s="17">
        <v>597.79999999999995</v>
      </c>
      <c r="K7" s="17">
        <v>602.6</v>
      </c>
      <c r="L7" s="17">
        <v>617.4</v>
      </c>
      <c r="M7" s="17">
        <v>626</v>
      </c>
      <c r="N7" s="17">
        <v>626.5</v>
      </c>
      <c r="O7" s="18" t="s">
        <v>8</v>
      </c>
      <c r="P7" s="18" t="s">
        <v>961</v>
      </c>
    </row>
    <row r="8" spans="1:16" ht="15.6" x14ac:dyDescent="0.3">
      <c r="A8" s="78"/>
      <c r="B8" s="18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61"/>
    </row>
    <row r="9" spans="1:16" ht="15.6" x14ac:dyDescent="0.3">
      <c r="A9" s="8" t="s">
        <v>962</v>
      </c>
      <c r="B9" s="18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78"/>
      <c r="P9" s="162"/>
    </row>
    <row r="10" spans="1:16" ht="15.6" x14ac:dyDescent="0.3">
      <c r="A10" s="11"/>
      <c r="B10" s="195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8"/>
      <c r="P10" s="161"/>
    </row>
    <row r="11" spans="1:16" ht="15.6" x14ac:dyDescent="0.3">
      <c r="A11" s="12" t="s">
        <v>963</v>
      </c>
      <c r="B11" s="198" t="s">
        <v>84</v>
      </c>
      <c r="C11" s="17">
        <v>653.6</v>
      </c>
      <c r="D11" s="17">
        <v>655.9</v>
      </c>
      <c r="E11" s="17">
        <v>657.8</v>
      </c>
      <c r="F11" s="17">
        <v>668</v>
      </c>
      <c r="G11" s="17">
        <v>678</v>
      </c>
      <c r="H11" s="17">
        <v>687</v>
      </c>
      <c r="I11" s="17">
        <v>697</v>
      </c>
      <c r="J11" s="17">
        <v>713.45799999999997</v>
      </c>
      <c r="K11" s="17">
        <v>718.59</v>
      </c>
      <c r="L11" s="17">
        <v>724</v>
      </c>
      <c r="M11" s="17">
        <v>730</v>
      </c>
      <c r="N11" s="17">
        <v>739</v>
      </c>
      <c r="O11" s="18" t="s">
        <v>8</v>
      </c>
      <c r="P11" s="18" t="s">
        <v>964</v>
      </c>
    </row>
    <row r="12" spans="1:16" ht="15.6" x14ac:dyDescent="0.3">
      <c r="A12" s="12" t="s">
        <v>965</v>
      </c>
      <c r="B12" s="198" t="s">
        <v>84</v>
      </c>
      <c r="C12" s="17">
        <v>620.92000000000007</v>
      </c>
      <c r="D12" s="17">
        <v>620.48140000000001</v>
      </c>
      <c r="E12" s="17">
        <v>619.64760000000001</v>
      </c>
      <c r="F12" s="17">
        <v>627.91999999999996</v>
      </c>
      <c r="G12" s="17">
        <v>635.96399999999994</v>
      </c>
      <c r="H12" s="17">
        <v>645.09299999999996</v>
      </c>
      <c r="I12" s="17">
        <v>653.78600000000006</v>
      </c>
      <c r="J12" s="17">
        <v>668.51014599999996</v>
      </c>
      <c r="K12" s="17">
        <v>674.03742</v>
      </c>
      <c r="L12" s="17">
        <v>684</v>
      </c>
      <c r="M12" s="17">
        <v>682.55</v>
      </c>
      <c r="N12" s="17">
        <v>688.00900000000001</v>
      </c>
      <c r="O12" s="18" t="s">
        <v>8</v>
      </c>
      <c r="P12" s="18" t="s">
        <v>964</v>
      </c>
    </row>
    <row r="13" spans="1:16" ht="15.6" x14ac:dyDescent="0.3">
      <c r="A13" s="12" t="s">
        <v>966</v>
      </c>
      <c r="B13" s="198" t="s">
        <v>84</v>
      </c>
      <c r="C13" s="17">
        <v>32.67999999999995</v>
      </c>
      <c r="D13" s="17">
        <v>35.418599999999969</v>
      </c>
      <c r="E13" s="17">
        <v>38.152399999999943</v>
      </c>
      <c r="F13" s="17">
        <v>40.080000000000041</v>
      </c>
      <c r="G13" s="17">
        <v>42.036000000000058</v>
      </c>
      <c r="H13" s="17">
        <v>41.907000000000039</v>
      </c>
      <c r="I13" s="17">
        <v>43.213999999999942</v>
      </c>
      <c r="J13" s="17">
        <v>44.947854000000007</v>
      </c>
      <c r="K13" s="17">
        <v>44.552580000000034</v>
      </c>
      <c r="L13" s="17">
        <v>44.888000000000034</v>
      </c>
      <c r="M13" s="17">
        <v>47</v>
      </c>
      <c r="N13" s="17">
        <v>51</v>
      </c>
      <c r="O13" s="18" t="s">
        <v>8</v>
      </c>
      <c r="P13" s="18" t="s">
        <v>964</v>
      </c>
    </row>
    <row r="14" spans="1:16" ht="15.6" x14ac:dyDescent="0.3">
      <c r="A14" s="12" t="s">
        <v>967</v>
      </c>
      <c r="B14" s="198" t="s">
        <v>84</v>
      </c>
      <c r="C14" s="17">
        <v>208.4984</v>
      </c>
      <c r="D14" s="17">
        <v>211.19979999999998</v>
      </c>
      <c r="E14" s="17">
        <v>212.46939999999995</v>
      </c>
      <c r="F14" s="17">
        <v>219.00192639999997</v>
      </c>
      <c r="G14" s="17">
        <v>212.08178880000003</v>
      </c>
      <c r="H14" s="17">
        <v>213.80205040000004</v>
      </c>
      <c r="I14" s="17">
        <v>221.60400000000001</v>
      </c>
      <c r="J14" s="17">
        <v>271.11403999999999</v>
      </c>
      <c r="K14" s="17">
        <v>301.80780000000004</v>
      </c>
      <c r="L14" s="17">
        <v>325.07599999999996</v>
      </c>
      <c r="M14" s="17">
        <v>308.06000000000006</v>
      </c>
      <c r="N14" s="17">
        <v>325.16000000000003</v>
      </c>
      <c r="O14" s="18" t="s">
        <v>8</v>
      </c>
      <c r="P14" s="18" t="s">
        <v>968</v>
      </c>
    </row>
    <row r="15" spans="1:16" ht="15.6" x14ac:dyDescent="0.3">
      <c r="A15" s="12" t="s">
        <v>969</v>
      </c>
      <c r="B15" s="198" t="s">
        <v>84</v>
      </c>
      <c r="C15" s="17">
        <v>206.86440000000002</v>
      </c>
      <c r="D15" s="17">
        <v>209.28719559999999</v>
      </c>
      <c r="E15" s="17">
        <v>210.25656079999996</v>
      </c>
      <c r="F15" s="17">
        <v>216.59712639999998</v>
      </c>
      <c r="G15" s="17">
        <v>209.47555680000002</v>
      </c>
      <c r="H15" s="17">
        <v>211.24572340000003</v>
      </c>
      <c r="I15" s="17">
        <v>215</v>
      </c>
      <c r="J15" s="17">
        <v>262.9806188</v>
      </c>
      <c r="K15" s="17">
        <v>292.75356600000003</v>
      </c>
      <c r="L15" s="17">
        <v>315.32371999999998</v>
      </c>
      <c r="M15" s="17">
        <v>298.81820000000005</v>
      </c>
      <c r="N15" s="17">
        <v>315.40520000000004</v>
      </c>
      <c r="O15" s="18" t="s">
        <v>8</v>
      </c>
      <c r="P15" s="18" t="s">
        <v>968</v>
      </c>
    </row>
    <row r="16" spans="1:16" ht="15.6" x14ac:dyDescent="0.3">
      <c r="A16" s="12" t="s">
        <v>970</v>
      </c>
      <c r="B16" s="198" t="s">
        <v>84</v>
      </c>
      <c r="C16" s="17">
        <v>445.10160000000002</v>
      </c>
      <c r="D16" s="17">
        <v>444.7002</v>
      </c>
      <c r="E16" s="17">
        <v>445.3306</v>
      </c>
      <c r="F16" s="17">
        <v>448.68687360000001</v>
      </c>
      <c r="G16" s="17">
        <v>465.49581120000005</v>
      </c>
      <c r="H16" s="17">
        <v>473.66434960000009</v>
      </c>
      <c r="I16" s="17">
        <v>486.39599999999996</v>
      </c>
      <c r="J16" s="17">
        <v>442.34395999999998</v>
      </c>
      <c r="K16" s="17">
        <v>416.78219999999999</v>
      </c>
      <c r="L16" s="17">
        <v>398.92400000000004</v>
      </c>
      <c r="M16" s="17">
        <v>421.93999999999994</v>
      </c>
      <c r="N16" s="17">
        <v>413.84</v>
      </c>
      <c r="O16" s="18" t="s">
        <v>8</v>
      </c>
      <c r="P16" s="18" t="s">
        <v>968</v>
      </c>
    </row>
    <row r="17" spans="1:16" ht="15.6" x14ac:dyDescent="0.3">
      <c r="A17" s="12" t="s">
        <v>971</v>
      </c>
      <c r="B17" s="198" t="s">
        <v>84</v>
      </c>
      <c r="C17" s="17">
        <v>414.05560000000003</v>
      </c>
      <c r="D17" s="17">
        <v>411.19420439999999</v>
      </c>
      <c r="E17" s="17">
        <v>409.39103920000002</v>
      </c>
      <c r="F17" s="17">
        <v>411.32287359999998</v>
      </c>
      <c r="G17" s="17">
        <v>426.48844319999989</v>
      </c>
      <c r="H17" s="17">
        <v>433.84727659999993</v>
      </c>
      <c r="I17" s="17">
        <v>438.78600000000006</v>
      </c>
      <c r="J17" s="17">
        <v>405.10038120000002</v>
      </c>
      <c r="K17" s="17">
        <v>381.66843399999999</v>
      </c>
      <c r="L17" s="17">
        <v>368.47828000000004</v>
      </c>
      <c r="M17" s="17">
        <v>385.19179999999994</v>
      </c>
      <c r="N17" s="17">
        <v>377.77679999999998</v>
      </c>
      <c r="O17" s="18" t="s">
        <v>8</v>
      </c>
      <c r="P17" s="18" t="s">
        <v>968</v>
      </c>
    </row>
    <row r="18" spans="1:16" ht="15.6" x14ac:dyDescent="0.3">
      <c r="A18" s="24" t="s">
        <v>972</v>
      </c>
      <c r="B18" s="25" t="s">
        <v>103</v>
      </c>
      <c r="C18" s="163">
        <f>IFERROR((C12+C13)/C11,"")</f>
        <v>1</v>
      </c>
      <c r="D18" s="163">
        <f t="shared" ref="D18:N18" si="0">IFERROR((D12+D13)/D11,"")</f>
        <v>1</v>
      </c>
      <c r="E18" s="163">
        <f t="shared" si="0"/>
        <v>1</v>
      </c>
      <c r="F18" s="163">
        <f t="shared" si="0"/>
        <v>1</v>
      </c>
      <c r="G18" s="163">
        <f t="shared" si="0"/>
        <v>1</v>
      </c>
      <c r="H18" s="163">
        <f t="shared" si="0"/>
        <v>1</v>
      </c>
      <c r="I18" s="163">
        <f t="shared" si="0"/>
        <v>1</v>
      </c>
      <c r="J18" s="163">
        <f t="shared" si="0"/>
        <v>1</v>
      </c>
      <c r="K18" s="163">
        <f t="shared" si="0"/>
        <v>1</v>
      </c>
      <c r="L18" s="163">
        <f t="shared" si="0"/>
        <v>1.0067513812154696</v>
      </c>
      <c r="M18" s="163">
        <f t="shared" si="0"/>
        <v>0.99938356164383557</v>
      </c>
      <c r="N18" s="163">
        <f t="shared" si="0"/>
        <v>1.0000121786197564</v>
      </c>
      <c r="O18" s="78"/>
      <c r="P18" s="78"/>
    </row>
    <row r="19" spans="1:16" ht="15.6" x14ac:dyDescent="0.3">
      <c r="A19" s="24" t="s">
        <v>973</v>
      </c>
      <c r="B19" s="25" t="s">
        <v>103</v>
      </c>
      <c r="C19" s="163">
        <f>IFERROR((C15+C17)/C12,"")</f>
        <v>1</v>
      </c>
      <c r="D19" s="163">
        <f t="shared" ref="D19:N19" si="1">IFERROR((D15+D17)/D12,"")</f>
        <v>1</v>
      </c>
      <c r="E19" s="163">
        <f t="shared" si="1"/>
        <v>1</v>
      </c>
      <c r="F19" s="163">
        <f t="shared" si="1"/>
        <v>1</v>
      </c>
      <c r="G19" s="163">
        <f t="shared" si="1"/>
        <v>1</v>
      </c>
      <c r="H19" s="163">
        <f t="shared" si="1"/>
        <v>1</v>
      </c>
      <c r="I19" s="163">
        <f t="shared" si="1"/>
        <v>1</v>
      </c>
      <c r="J19" s="163">
        <f t="shared" si="1"/>
        <v>0.99935805611542661</v>
      </c>
      <c r="K19" s="163">
        <f t="shared" si="1"/>
        <v>1.0005705617946257</v>
      </c>
      <c r="L19" s="163">
        <f t="shared" si="1"/>
        <v>0.99971052631578949</v>
      </c>
      <c r="M19" s="163">
        <f t="shared" si="1"/>
        <v>1.0021390374331551</v>
      </c>
      <c r="N19" s="163">
        <f t="shared" si="1"/>
        <v>1.0075187969924813</v>
      </c>
      <c r="O19" s="78"/>
      <c r="P19" s="78"/>
    </row>
    <row r="20" spans="1:16" ht="15.6" x14ac:dyDescent="0.3">
      <c r="A20" s="49"/>
      <c r="B20" s="29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78"/>
      <c r="P20" s="78"/>
    </row>
    <row r="21" spans="1:16" ht="15.6" x14ac:dyDescent="0.3">
      <c r="A21" s="8" t="s">
        <v>974</v>
      </c>
      <c r="B21" s="2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78"/>
      <c r="P21" s="78"/>
    </row>
    <row r="22" spans="1:16" ht="15.6" x14ac:dyDescent="0.3">
      <c r="A22" s="11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78"/>
      <c r="P22" s="78"/>
    </row>
    <row r="23" spans="1:16" ht="16.2" x14ac:dyDescent="0.3">
      <c r="A23" s="164" t="s">
        <v>975</v>
      </c>
      <c r="B23" s="29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65"/>
      <c r="P23" s="78"/>
    </row>
    <row r="24" spans="1:16" ht="15.6" x14ac:dyDescent="0.3">
      <c r="A24" s="12" t="s">
        <v>976</v>
      </c>
      <c r="B24" s="29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00"/>
      <c r="P24" s="78"/>
    </row>
    <row r="25" spans="1:16" ht="15.6" x14ac:dyDescent="0.3">
      <c r="A25" s="12" t="s">
        <v>977</v>
      </c>
      <c r="B25" s="198" t="s">
        <v>84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00"/>
      <c r="P25" s="78"/>
    </row>
    <row r="26" spans="1:16" ht="15.6" x14ac:dyDescent="0.3">
      <c r="A26" s="12" t="s">
        <v>978</v>
      </c>
      <c r="B26" s="198" t="s">
        <v>84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00"/>
      <c r="P26" s="78"/>
    </row>
    <row r="27" spans="1:16" ht="16.2" x14ac:dyDescent="0.3">
      <c r="A27" s="12" t="s">
        <v>979</v>
      </c>
      <c r="B27" s="198" t="s">
        <v>84</v>
      </c>
      <c r="C27" s="17">
        <v>339.36546000000004</v>
      </c>
      <c r="D27" s="17">
        <v>350.51296000000002</v>
      </c>
      <c r="E27" s="17">
        <v>339.7734339999999</v>
      </c>
      <c r="F27" s="17">
        <v>342.85133999999999</v>
      </c>
      <c r="G27" s="17">
        <v>363.82499999999999</v>
      </c>
      <c r="H27" s="17">
        <v>376.20352000000008</v>
      </c>
      <c r="I27" s="17">
        <v>373.42752000000007</v>
      </c>
      <c r="J27" s="17">
        <v>363.331683</v>
      </c>
      <c r="K27" s="17">
        <v>358.62092299999995</v>
      </c>
      <c r="L27" s="17">
        <v>352.02843200000001</v>
      </c>
      <c r="M27" s="160"/>
      <c r="N27" s="160"/>
      <c r="O27" s="18" t="s">
        <v>8</v>
      </c>
      <c r="P27" s="18" t="s">
        <v>980</v>
      </c>
    </row>
    <row r="28" spans="1:16" ht="15.6" x14ac:dyDescent="0.3">
      <c r="A28" s="12" t="s">
        <v>981</v>
      </c>
      <c r="B28" s="198" t="s">
        <v>84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00"/>
      <c r="P28" s="78"/>
    </row>
    <row r="29" spans="1:16" ht="15.6" x14ac:dyDescent="0.3">
      <c r="A29" s="12" t="s">
        <v>982</v>
      </c>
      <c r="B29" s="198" t="s">
        <v>84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00"/>
      <c r="P29" s="78"/>
    </row>
    <row r="30" spans="1:16" ht="15.6" x14ac:dyDescent="0.3">
      <c r="A30" s="11"/>
      <c r="B30" s="198" t="s">
        <v>84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8"/>
      <c r="P30" s="78"/>
    </row>
    <row r="31" spans="1:16" ht="15.6" x14ac:dyDescent="0.3">
      <c r="A31" s="164" t="s">
        <v>983</v>
      </c>
      <c r="B31" s="19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78"/>
      <c r="P31" s="78"/>
    </row>
    <row r="32" spans="1:16" ht="15.6" x14ac:dyDescent="0.3">
      <c r="A32" s="12" t="s">
        <v>984</v>
      </c>
      <c r="B32" s="198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78"/>
      <c r="P32" s="78"/>
    </row>
    <row r="33" spans="1:16" ht="15.6" x14ac:dyDescent="0.3">
      <c r="A33" s="12" t="s">
        <v>985</v>
      </c>
      <c r="B33" s="198" t="s">
        <v>84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8"/>
      <c r="P33" s="78"/>
    </row>
    <row r="34" spans="1:16" ht="15.6" x14ac:dyDescent="0.3">
      <c r="A34" s="12" t="s">
        <v>986</v>
      </c>
      <c r="B34" s="198" t="s">
        <v>84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78"/>
      <c r="P34" s="78"/>
    </row>
    <row r="35" spans="1:16" ht="15.6" x14ac:dyDescent="0.3">
      <c r="A35" s="12" t="s">
        <v>987</v>
      </c>
      <c r="B35" s="198" t="s">
        <v>84</v>
      </c>
      <c r="C35" s="17">
        <v>108.25758174000001</v>
      </c>
      <c r="D35" s="17">
        <v>112.86517311999997</v>
      </c>
      <c r="E35" s="17">
        <v>109.74681918199998</v>
      </c>
      <c r="F35" s="17">
        <v>112.45523951999998</v>
      </c>
      <c r="G35" s="17">
        <v>113.877225</v>
      </c>
      <c r="H35" s="17">
        <v>116.99929472000002</v>
      </c>
      <c r="I35" s="17">
        <v>116.88281376000005</v>
      </c>
      <c r="J35" s="17">
        <v>130.07274251399997</v>
      </c>
      <c r="K35" s="17">
        <v>144.52423196899997</v>
      </c>
      <c r="L35" s="17">
        <v>158.06076596800003</v>
      </c>
      <c r="M35" s="17"/>
      <c r="N35" s="17"/>
      <c r="O35" s="18" t="s">
        <v>8</v>
      </c>
      <c r="P35" s="78" t="s">
        <v>1096</v>
      </c>
    </row>
    <row r="36" spans="1:16" ht="15.6" x14ac:dyDescent="0.3">
      <c r="A36" s="12" t="s">
        <v>989</v>
      </c>
      <c r="B36" s="198" t="s">
        <v>84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78"/>
      <c r="P36" s="78"/>
    </row>
    <row r="37" spans="1:16" ht="15.6" x14ac:dyDescent="0.3">
      <c r="A37" s="12" t="s">
        <v>990</v>
      </c>
      <c r="B37" s="198" t="s">
        <v>84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8"/>
      <c r="P37" s="78"/>
    </row>
    <row r="38" spans="1:16" ht="15.6" x14ac:dyDescent="0.3">
      <c r="A38" s="11"/>
      <c r="B38" s="198" t="s">
        <v>84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8"/>
      <c r="P38" s="78"/>
    </row>
    <row r="39" spans="1:16" ht="15.6" x14ac:dyDescent="0.3">
      <c r="A39" s="164" t="s">
        <v>971</v>
      </c>
      <c r="B39" s="134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78"/>
      <c r="P39" s="78"/>
    </row>
    <row r="40" spans="1:16" ht="15.6" x14ac:dyDescent="0.3">
      <c r="A40" s="12" t="s">
        <v>991</v>
      </c>
      <c r="B40" s="198" t="s">
        <v>84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9"/>
      <c r="M40" s="171"/>
      <c r="N40" s="167"/>
      <c r="O40" s="78"/>
      <c r="P40" s="78"/>
    </row>
    <row r="41" spans="1:16" ht="15.6" x14ac:dyDescent="0.3">
      <c r="A41" s="12" t="s">
        <v>992</v>
      </c>
      <c r="B41" s="198" t="s">
        <v>84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9"/>
      <c r="M41" s="171"/>
      <c r="N41" s="167"/>
      <c r="O41" s="96"/>
      <c r="P41" s="96"/>
    </row>
    <row r="42" spans="1:16" ht="15.6" x14ac:dyDescent="0.3">
      <c r="A42" s="12" t="s">
        <v>993</v>
      </c>
      <c r="B42" s="198" t="s">
        <v>84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9"/>
      <c r="M42" s="171"/>
      <c r="N42" s="167"/>
      <c r="O42" s="96"/>
      <c r="P42" s="96"/>
    </row>
    <row r="43" spans="1:16" ht="16.2" x14ac:dyDescent="0.3">
      <c r="A43" s="12" t="s">
        <v>994</v>
      </c>
      <c r="B43" s="198" t="s">
        <v>84</v>
      </c>
      <c r="C43" s="17">
        <v>231.10787826000004</v>
      </c>
      <c r="D43" s="17">
        <v>237.64778688000001</v>
      </c>
      <c r="E43" s="17">
        <v>230.02661481799998</v>
      </c>
      <c r="F43" s="17">
        <v>230.39610048000003</v>
      </c>
      <c r="G43" s="17">
        <v>249.94777499999998</v>
      </c>
      <c r="H43" s="17">
        <v>259.20422528</v>
      </c>
      <c r="I43" s="17">
        <v>256.54470624000004</v>
      </c>
      <c r="J43" s="17">
        <v>233.25894048599994</v>
      </c>
      <c r="K43" s="17">
        <v>214.09669103099998</v>
      </c>
      <c r="L43" s="170">
        <v>193.96766603200004</v>
      </c>
      <c r="M43" s="172"/>
      <c r="N43" s="168"/>
      <c r="O43" s="18" t="s">
        <v>8</v>
      </c>
      <c r="P43" s="96"/>
    </row>
    <row r="44" spans="1:16" ht="15.6" x14ac:dyDescent="0.3">
      <c r="A44" s="12" t="s">
        <v>995</v>
      </c>
      <c r="B44" s="198" t="s">
        <v>84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9"/>
      <c r="M44" s="171"/>
      <c r="N44" s="167"/>
      <c r="O44" s="18"/>
      <c r="P44" s="96"/>
    </row>
    <row r="45" spans="1:16" ht="15.6" x14ac:dyDescent="0.3">
      <c r="A45" s="12" t="s">
        <v>996</v>
      </c>
      <c r="B45" s="198" t="s">
        <v>84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9"/>
      <c r="M45" s="171"/>
      <c r="N45" s="167"/>
      <c r="O45" s="18"/>
      <c r="P45" s="96"/>
    </row>
    <row r="46" spans="1:16" ht="15.6" x14ac:dyDescent="0.3">
      <c r="A46" s="11"/>
      <c r="B46" s="2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5.6" x14ac:dyDescent="0.3">
      <c r="A47" s="24" t="s">
        <v>997</v>
      </c>
      <c r="B47" s="2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5.6" x14ac:dyDescent="0.3">
      <c r="A48" s="24" t="s">
        <v>998</v>
      </c>
      <c r="B48" s="25" t="s">
        <v>103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6" x14ac:dyDescent="0.3">
      <c r="A49" s="24" t="s">
        <v>999</v>
      </c>
      <c r="B49" s="25" t="s">
        <v>103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5.6" x14ac:dyDescent="0.3">
      <c r="A50" s="24" t="s">
        <v>1000</v>
      </c>
      <c r="B50" s="25" t="s">
        <v>103</v>
      </c>
      <c r="C50" s="163">
        <f>IFERROR((C43+C35)/C27,"")</f>
        <v>1</v>
      </c>
      <c r="D50" s="163">
        <f t="shared" ref="D50:N50" si="2">IFERROR((D43+D35)/D27,"")</f>
        <v>0.99999999999999989</v>
      </c>
      <c r="E50" s="163">
        <f t="shared" si="2"/>
        <v>1.0000000000000002</v>
      </c>
      <c r="F50" s="163">
        <f t="shared" si="2"/>
        <v>1</v>
      </c>
      <c r="G50" s="163">
        <f t="shared" si="2"/>
        <v>1</v>
      </c>
      <c r="H50" s="163">
        <f t="shared" si="2"/>
        <v>0.99999999999999989</v>
      </c>
      <c r="I50" s="163">
        <f t="shared" si="2"/>
        <v>1</v>
      </c>
      <c r="J50" s="163">
        <f t="shared" si="2"/>
        <v>0.99999999999999967</v>
      </c>
      <c r="K50" s="163">
        <f t="shared" si="2"/>
        <v>1</v>
      </c>
      <c r="L50" s="163">
        <f t="shared" si="2"/>
        <v>1.0000000000000002</v>
      </c>
      <c r="M50" s="163" t="str">
        <f t="shared" si="2"/>
        <v/>
      </c>
      <c r="N50" s="163" t="str">
        <f t="shared" si="2"/>
        <v/>
      </c>
      <c r="O50" s="96"/>
      <c r="P50" s="96"/>
    </row>
    <row r="51" spans="1:16" ht="15.6" x14ac:dyDescent="0.3">
      <c r="A51" s="24" t="s">
        <v>1001</v>
      </c>
      <c r="B51" s="25" t="s">
        <v>103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18"/>
      <c r="P51" s="96"/>
    </row>
    <row r="52" spans="1:16" ht="15.6" x14ac:dyDescent="0.3">
      <c r="A52" s="24" t="s">
        <v>1002</v>
      </c>
      <c r="B52" s="25" t="s">
        <v>103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18"/>
      <c r="P52" s="96"/>
    </row>
    <row r="53" spans="1:16" ht="15.6" x14ac:dyDescent="0.3">
      <c r="A53" s="49"/>
      <c r="B53" s="134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8"/>
      <c r="P53" s="96"/>
    </row>
    <row r="54" spans="1:16" ht="15.6" x14ac:dyDescent="0.3">
      <c r="A54" s="8" t="s">
        <v>1003</v>
      </c>
      <c r="B54" s="134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105"/>
      <c r="P54" s="96"/>
    </row>
    <row r="55" spans="1:16" ht="15.6" x14ac:dyDescent="0.3">
      <c r="A55" s="11"/>
      <c r="B55" s="134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05"/>
      <c r="P55" s="96"/>
    </row>
    <row r="56" spans="1:16" ht="15.6" x14ac:dyDescent="0.3">
      <c r="A56" s="12" t="s">
        <v>1004</v>
      </c>
      <c r="B56" s="198" t="s">
        <v>84</v>
      </c>
      <c r="C56" s="44">
        <v>2.2999999999999998</v>
      </c>
      <c r="D56" s="44">
        <v>1.9</v>
      </c>
      <c r="E56" s="44">
        <v>2</v>
      </c>
      <c r="F56" s="44">
        <v>2.1</v>
      </c>
      <c r="G56" s="44">
        <v>2.7559999999999998</v>
      </c>
      <c r="H56" s="44">
        <v>3.9689999999999999</v>
      </c>
      <c r="I56" s="44">
        <v>4.7</v>
      </c>
      <c r="J56" s="44">
        <v>5.8900000000000006</v>
      </c>
      <c r="K56" s="44">
        <v>6.5</v>
      </c>
      <c r="L56" s="44">
        <v>7</v>
      </c>
      <c r="M56" s="44">
        <v>7.6</v>
      </c>
      <c r="N56" s="44">
        <v>6.7</v>
      </c>
      <c r="O56" s="18" t="s">
        <v>8</v>
      </c>
      <c r="P56" s="18" t="s">
        <v>1005</v>
      </c>
    </row>
    <row r="57" spans="1:16" ht="15.6" x14ac:dyDescent="0.3">
      <c r="A57" s="12" t="s">
        <v>1006</v>
      </c>
      <c r="B57" s="198" t="s">
        <v>84</v>
      </c>
      <c r="C57" s="44">
        <v>0.9</v>
      </c>
      <c r="D57" s="44">
        <v>0.8</v>
      </c>
      <c r="E57" s="44">
        <v>0.95</v>
      </c>
      <c r="F57" s="44">
        <v>1.1000000000000001</v>
      </c>
      <c r="G57" s="44">
        <v>1.2</v>
      </c>
      <c r="H57" s="44">
        <v>1.6</v>
      </c>
      <c r="I57" s="44">
        <v>1.9</v>
      </c>
      <c r="J57" s="44">
        <v>2.149</v>
      </c>
      <c r="K57" s="44">
        <v>2.2999999999999998</v>
      </c>
      <c r="L57" s="44">
        <v>2.8</v>
      </c>
      <c r="M57" s="44">
        <v>3</v>
      </c>
      <c r="N57" s="44">
        <v>2.6</v>
      </c>
      <c r="O57" s="18" t="s">
        <v>8</v>
      </c>
      <c r="P57" s="18" t="s">
        <v>1005</v>
      </c>
    </row>
    <row r="58" spans="1:16" ht="15.6" x14ac:dyDescent="0.3">
      <c r="A58" s="12" t="s">
        <v>1007</v>
      </c>
      <c r="B58" s="198" t="s">
        <v>84</v>
      </c>
      <c r="C58" s="44">
        <v>1.4</v>
      </c>
      <c r="D58" s="44">
        <v>1.0999999999999999</v>
      </c>
      <c r="E58" s="44">
        <v>1.05</v>
      </c>
      <c r="F58" s="44">
        <v>1</v>
      </c>
      <c r="G58" s="44">
        <v>1.5660000000000001</v>
      </c>
      <c r="H58" s="44">
        <v>2.3809999999999998</v>
      </c>
      <c r="I58" s="44">
        <v>2.8</v>
      </c>
      <c r="J58" s="44">
        <v>3.7410000000000001</v>
      </c>
      <c r="K58" s="44">
        <v>4.2</v>
      </c>
      <c r="L58" s="44">
        <v>4.2</v>
      </c>
      <c r="M58" s="44">
        <v>4.5999999999999996</v>
      </c>
      <c r="N58" s="44">
        <v>4.0999999999999996</v>
      </c>
      <c r="O58" s="18" t="s">
        <v>8</v>
      </c>
      <c r="P58" s="18" t="s">
        <v>1005</v>
      </c>
    </row>
    <row r="59" spans="1:16" ht="15.6" x14ac:dyDescent="0.3">
      <c r="A59" s="24" t="s">
        <v>102</v>
      </c>
      <c r="B59" s="25" t="s">
        <v>103</v>
      </c>
      <c r="C59" s="163">
        <f>IFERROR((C57+C58)/C56,"")</f>
        <v>1</v>
      </c>
      <c r="D59" s="163">
        <f t="shared" ref="D59:N59" si="3">IFERROR((D57+D58)/D56,"")</f>
        <v>1</v>
      </c>
      <c r="E59" s="163">
        <f t="shared" si="3"/>
        <v>1</v>
      </c>
      <c r="F59" s="163">
        <f t="shared" si="3"/>
        <v>1</v>
      </c>
      <c r="G59" s="163">
        <f t="shared" si="3"/>
        <v>1.0036284470246735</v>
      </c>
      <c r="H59" s="163">
        <f t="shared" si="3"/>
        <v>1.0030234315948601</v>
      </c>
      <c r="I59" s="163">
        <f t="shared" si="3"/>
        <v>0.99999999999999978</v>
      </c>
      <c r="J59" s="163">
        <f t="shared" si="3"/>
        <v>1</v>
      </c>
      <c r="K59" s="163">
        <f t="shared" si="3"/>
        <v>1</v>
      </c>
      <c r="L59" s="163">
        <f t="shared" si="3"/>
        <v>1</v>
      </c>
      <c r="M59" s="163">
        <f t="shared" si="3"/>
        <v>1</v>
      </c>
      <c r="N59" s="163">
        <f t="shared" si="3"/>
        <v>0.99999999999999989</v>
      </c>
      <c r="O59" s="96"/>
      <c r="P59" s="96"/>
    </row>
    <row r="60" spans="1:16" ht="15.6" x14ac:dyDescent="0.3">
      <c r="A60" s="11"/>
      <c r="B60" s="2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5.6" x14ac:dyDescent="0.3">
      <c r="A61" s="8" t="s">
        <v>1008</v>
      </c>
      <c r="B61" s="174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18"/>
      <c r="P61" s="96"/>
    </row>
    <row r="62" spans="1:16" ht="15.6" x14ac:dyDescent="0.3">
      <c r="A62" s="11"/>
      <c r="B62" s="173"/>
      <c r="C62" s="23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18"/>
      <c r="P62" s="96"/>
    </row>
    <row r="63" spans="1:16" ht="15.6" x14ac:dyDescent="0.3">
      <c r="A63" s="12" t="s">
        <v>1009</v>
      </c>
      <c r="B63" s="198" t="s">
        <v>84</v>
      </c>
      <c r="C63" s="216">
        <v>366.95284802168334</v>
      </c>
      <c r="D63" s="216">
        <v>366.69364310133557</v>
      </c>
      <c r="E63" s="216">
        <v>366.20088190072926</v>
      </c>
      <c r="F63" s="216">
        <v>371.08972545541349</v>
      </c>
      <c r="G63" s="216">
        <v>375.84358860926005</v>
      </c>
      <c r="H63" s="216">
        <v>381.23866776533487</v>
      </c>
      <c r="I63" s="216">
        <v>386.37607855553733</v>
      </c>
      <c r="J63" s="216">
        <v>394.82417325770501</v>
      </c>
      <c r="K63" s="216">
        <v>398.57159323017407</v>
      </c>
      <c r="L63" s="216">
        <v>404.11500899137263</v>
      </c>
      <c r="M63" s="216">
        <v>404.23793334940342</v>
      </c>
      <c r="N63" s="216">
        <v>409.65842475257114</v>
      </c>
      <c r="O63" s="18" t="s">
        <v>8</v>
      </c>
      <c r="P63" s="18" t="s">
        <v>1010</v>
      </c>
    </row>
    <row r="64" spans="1:16" ht="15.6" x14ac:dyDescent="0.3">
      <c r="A64" s="12" t="s">
        <v>1011</v>
      </c>
      <c r="B64" s="198" t="s">
        <v>84</v>
      </c>
      <c r="C64" s="216">
        <v>70.784880000000015</v>
      </c>
      <c r="D64" s="216">
        <v>81.903544800000006</v>
      </c>
      <c r="E64" s="216">
        <v>83.032778400000012</v>
      </c>
      <c r="F64" s="216">
        <v>85.397120000000001</v>
      </c>
      <c r="G64" s="216">
        <v>89.034959999999998</v>
      </c>
      <c r="H64" s="216">
        <v>96.76394999999998</v>
      </c>
      <c r="I64" s="216">
        <v>103.95197400000001</v>
      </c>
      <c r="J64" s="216">
        <v>121.59074199999999</v>
      </c>
      <c r="K64" s="216">
        <v>143.65188600000002</v>
      </c>
      <c r="L64" s="216">
        <v>162.744876</v>
      </c>
      <c r="M64" s="216">
        <v>162.11036999999999</v>
      </c>
      <c r="N64" s="216">
        <v>164.977316</v>
      </c>
      <c r="O64" s="18" t="s">
        <v>8</v>
      </c>
      <c r="P64" s="18" t="s">
        <v>1010</v>
      </c>
    </row>
    <row r="65" spans="1:16" ht="15.6" x14ac:dyDescent="0.3">
      <c r="A65" s="12" t="s">
        <v>1012</v>
      </c>
      <c r="B65" s="198" t="s">
        <v>84</v>
      </c>
      <c r="C65" s="216">
        <v>620.92000000000007</v>
      </c>
      <c r="D65" s="216">
        <v>620.48140000000001</v>
      </c>
      <c r="E65" s="216">
        <v>619.64760000000001</v>
      </c>
      <c r="F65" s="216">
        <v>627.91999999999996</v>
      </c>
      <c r="G65" s="216">
        <v>635.96399999999994</v>
      </c>
      <c r="H65" s="216">
        <v>645.09299999999996</v>
      </c>
      <c r="I65" s="216">
        <v>653.78600000000006</v>
      </c>
      <c r="J65" s="216">
        <v>668.51014599999996</v>
      </c>
      <c r="K65" s="216">
        <v>674.03742</v>
      </c>
      <c r="L65" s="216">
        <v>684</v>
      </c>
      <c r="M65" s="216">
        <v>682.55</v>
      </c>
      <c r="N65" s="216">
        <v>688.00900000000001</v>
      </c>
      <c r="O65" s="18" t="s">
        <v>8</v>
      </c>
      <c r="P65" s="18" t="s">
        <v>1013</v>
      </c>
    </row>
    <row r="66" spans="1:16" x14ac:dyDescent="0.3">
      <c r="A66" s="12" t="s">
        <v>1014</v>
      </c>
      <c r="B66" s="25" t="s">
        <v>103</v>
      </c>
      <c r="C66" s="229">
        <v>0.59098249053289198</v>
      </c>
      <c r="D66" s="229">
        <v>0.59098249053289198</v>
      </c>
      <c r="E66" s="229">
        <v>0.59098249053289198</v>
      </c>
      <c r="F66" s="229">
        <v>0.59098249053289198</v>
      </c>
      <c r="G66" s="229">
        <v>0.59098249053289198</v>
      </c>
      <c r="H66" s="229">
        <v>0.59098249053289198</v>
      </c>
      <c r="I66" s="229">
        <v>0.59098249053289198</v>
      </c>
      <c r="J66" s="229">
        <v>0.59098249053289198</v>
      </c>
      <c r="K66" s="229">
        <v>0.59098249053289198</v>
      </c>
      <c r="L66" s="229">
        <v>0.59098249053289198</v>
      </c>
      <c r="M66" s="229">
        <v>0.59098249053289198</v>
      </c>
      <c r="N66" s="229">
        <v>0.59098249053289198</v>
      </c>
      <c r="O66" s="18" t="s">
        <v>26</v>
      </c>
      <c r="P66" s="18" t="s">
        <v>1010</v>
      </c>
    </row>
    <row r="67" spans="1:16" ht="15.6" x14ac:dyDescent="0.3">
      <c r="A67" s="8" t="s">
        <v>1015</v>
      </c>
      <c r="B67" s="134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96"/>
      <c r="P67" s="96"/>
    </row>
    <row r="68" spans="1:16" ht="15.6" x14ac:dyDescent="0.3">
      <c r="A68" s="11"/>
      <c r="B68" s="99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5.6" x14ac:dyDescent="0.3">
      <c r="A69" s="164" t="s">
        <v>1016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5.6" x14ac:dyDescent="0.3">
      <c r="A70" s="12" t="s">
        <v>1017</v>
      </c>
      <c r="B70" s="198" t="s">
        <v>1018</v>
      </c>
      <c r="C70" s="17">
        <v>61.337209302325576</v>
      </c>
      <c r="D70" s="17">
        <v>61.472785485592318</v>
      </c>
      <c r="E70" s="17">
        <v>61.614472484037705</v>
      </c>
      <c r="F70" s="17">
        <v>61.540212443095598</v>
      </c>
      <c r="G70" s="17">
        <v>62.2</v>
      </c>
      <c r="H70" s="17">
        <v>62.215909090909093</v>
      </c>
      <c r="I70" s="17">
        <v>62.217514124293785</v>
      </c>
      <c r="J70" s="17">
        <v>62.302195784475053</v>
      </c>
      <c r="K70" s="17">
        <v>61.509344688904655</v>
      </c>
      <c r="L70" s="17">
        <v>63</v>
      </c>
      <c r="M70" s="17">
        <v>63.5</v>
      </c>
      <c r="N70" s="17">
        <v>63.6</v>
      </c>
      <c r="O70" s="18" t="s">
        <v>8</v>
      </c>
      <c r="P70" s="18" t="s">
        <v>1019</v>
      </c>
    </row>
    <row r="71" spans="1:16" ht="15.6" x14ac:dyDescent="0.3">
      <c r="A71" s="12" t="s">
        <v>1097</v>
      </c>
      <c r="B71" s="198" t="s">
        <v>1018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96"/>
      <c r="P71" s="96"/>
    </row>
    <row r="72" spans="1:16" ht="15.6" x14ac:dyDescent="0.3">
      <c r="A72" s="12" t="s">
        <v>1098</v>
      </c>
      <c r="B72" s="198" t="s">
        <v>1018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8"/>
      <c r="P72" s="96"/>
    </row>
    <row r="73" spans="1:16" ht="15.6" x14ac:dyDescent="0.3">
      <c r="A73" s="11"/>
      <c r="B73" s="198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8"/>
      <c r="P73" s="96"/>
    </row>
    <row r="74" spans="1:16" ht="15.6" x14ac:dyDescent="0.3">
      <c r="A74" s="164" t="s">
        <v>1022</v>
      </c>
      <c r="B74" s="19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8"/>
      <c r="P74" s="96"/>
    </row>
    <row r="75" spans="1:16" ht="15.6" x14ac:dyDescent="0.3">
      <c r="A75" s="12" t="s">
        <v>1023</v>
      </c>
      <c r="B75" s="198" t="s">
        <v>1018</v>
      </c>
      <c r="C75" s="17">
        <v>102.32358003442341</v>
      </c>
      <c r="D75" s="17">
        <v>107.35140771637121</v>
      </c>
      <c r="E75" s="17">
        <v>117.28643216080403</v>
      </c>
      <c r="F75" s="17">
        <v>120.44252044252045</v>
      </c>
      <c r="G75" s="17">
        <v>106.13207547169812</v>
      </c>
      <c r="H75" s="17">
        <v>100.1</v>
      </c>
      <c r="I75" s="17">
        <v>98.2</v>
      </c>
      <c r="J75" s="17">
        <v>91.355932203389827</v>
      </c>
      <c r="K75" s="17">
        <v>90</v>
      </c>
      <c r="L75" s="17">
        <v>94</v>
      </c>
      <c r="M75" s="17">
        <v>93.15789473684211</v>
      </c>
      <c r="N75" s="17">
        <v>91.492537313432834</v>
      </c>
      <c r="O75" s="18" t="s">
        <v>8</v>
      </c>
      <c r="P75" s="18" t="s">
        <v>1024</v>
      </c>
    </row>
    <row r="76" spans="1:16" ht="15.6" x14ac:dyDescent="0.3">
      <c r="A76" s="12" t="s">
        <v>1025</v>
      </c>
      <c r="B76" s="198" t="s">
        <v>1018</v>
      </c>
      <c r="C76" s="17">
        <v>163.73507057546146</v>
      </c>
      <c r="D76" s="17">
        <v>164.05307599517491</v>
      </c>
      <c r="E76" s="17">
        <v>175.36842105263159</v>
      </c>
      <c r="F76" s="17">
        <v>167.98561151079136</v>
      </c>
      <c r="G76" s="17">
        <v>157.22689075630251</v>
      </c>
      <c r="H76" s="17">
        <v>150.44080604534005</v>
      </c>
      <c r="I76" s="17">
        <v>147.41288278775082</v>
      </c>
      <c r="J76" s="17">
        <v>145.23809523809524</v>
      </c>
      <c r="K76" s="17">
        <v>136.52173913043478</v>
      </c>
      <c r="L76" s="17">
        <v>142.85714285714286</v>
      </c>
      <c r="M76" s="17">
        <v>141.66666666666666</v>
      </c>
      <c r="N76" s="17">
        <v>138.84615384615384</v>
      </c>
      <c r="O76" s="18" t="s">
        <v>8</v>
      </c>
      <c r="P76" s="18" t="s">
        <v>1024</v>
      </c>
    </row>
    <row r="77" spans="1:16" ht="15.6" x14ac:dyDescent="0.3">
      <c r="A77" s="12" t="s">
        <v>1026</v>
      </c>
      <c r="B77" s="198" t="s">
        <v>1018</v>
      </c>
      <c r="C77" s="17">
        <v>62.1</v>
      </c>
      <c r="D77" s="17">
        <v>64.187327823691462</v>
      </c>
      <c r="E77" s="17">
        <v>64.230769230769226</v>
      </c>
      <c r="F77" s="17">
        <v>65.770423991726986</v>
      </c>
      <c r="G77" s="17">
        <v>67.305236270753511</v>
      </c>
      <c r="H77" s="17">
        <v>66.568668626627471</v>
      </c>
      <c r="I77" s="17">
        <v>64.8</v>
      </c>
      <c r="J77" s="17">
        <v>62</v>
      </c>
      <c r="K77" s="17">
        <v>64.099999999999994</v>
      </c>
      <c r="L77" s="17">
        <v>61.6</v>
      </c>
      <c r="M77" s="17">
        <v>61.916246437184824</v>
      </c>
      <c r="N77" s="17">
        <v>63</v>
      </c>
      <c r="O77" s="18" t="s">
        <v>8</v>
      </c>
      <c r="P77" s="18" t="s">
        <v>1024</v>
      </c>
    </row>
    <row r="78" spans="1:16" ht="15.6" x14ac:dyDescent="0.3">
      <c r="A78" s="11"/>
      <c r="B78" s="134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18"/>
      <c r="P78" s="96"/>
    </row>
    <row r="79" spans="1:16" ht="18" x14ac:dyDescent="0.3">
      <c r="A79" s="2" t="s">
        <v>1027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6" x14ac:dyDescent="0.3">
      <c r="A80" s="8" t="s">
        <v>1028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5.6" x14ac:dyDescent="0.3">
      <c r="A81" s="1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5.6" x14ac:dyDescent="0.3">
      <c r="A82" s="164" t="s">
        <v>1029</v>
      </c>
      <c r="B82" s="29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18"/>
      <c r="P82" s="96"/>
    </row>
    <row r="83" spans="1:16" ht="15.6" x14ac:dyDescent="0.3">
      <c r="A83" s="12" t="s">
        <v>1030</v>
      </c>
      <c r="B83" s="22">
        <v>1</v>
      </c>
      <c r="C83" s="229">
        <v>0.59098249053289198</v>
      </c>
      <c r="D83" s="229">
        <v>0.59098249053289198</v>
      </c>
      <c r="E83" s="229">
        <v>0.59098249053289198</v>
      </c>
      <c r="F83" s="229">
        <v>0.59098249053289198</v>
      </c>
      <c r="G83" s="229">
        <v>0.59098249053289198</v>
      </c>
      <c r="H83" s="229">
        <v>0.59098249053289198</v>
      </c>
      <c r="I83" s="229">
        <v>0.59098249053289198</v>
      </c>
      <c r="J83" s="229">
        <v>0.59098249053289198</v>
      </c>
      <c r="K83" s="229">
        <v>0.59098249053289198</v>
      </c>
      <c r="L83" s="229">
        <v>0.59098249053289198</v>
      </c>
      <c r="M83" s="229">
        <v>0.59098249053289198</v>
      </c>
      <c r="N83" s="229">
        <v>0.59098249053289198</v>
      </c>
      <c r="O83" s="178" t="s">
        <v>26</v>
      </c>
      <c r="P83" s="96"/>
    </row>
    <row r="84" spans="1:16" ht="15.6" x14ac:dyDescent="0.3">
      <c r="A84" s="12" t="s">
        <v>1032</v>
      </c>
      <c r="B84" s="22">
        <v>1</v>
      </c>
      <c r="C84" s="229">
        <v>0.25000000000000006</v>
      </c>
      <c r="D84" s="229">
        <v>0.25199999999999995</v>
      </c>
      <c r="E84" s="229">
        <v>0.25799999999999995</v>
      </c>
      <c r="F84" s="229">
        <v>0.26</v>
      </c>
      <c r="G84" s="229">
        <v>0.26100000000000001</v>
      </c>
      <c r="H84" s="229">
        <v>0.26200000000000001</v>
      </c>
      <c r="I84" s="229">
        <v>0.27</v>
      </c>
      <c r="J84" s="229">
        <v>0.27200000000000002</v>
      </c>
      <c r="K84" s="229">
        <v>0.28000000000000003</v>
      </c>
      <c r="L84" s="229">
        <v>0.28999999999999998</v>
      </c>
      <c r="M84" s="229">
        <v>0.3</v>
      </c>
      <c r="N84" s="229">
        <v>0.31000000000000005</v>
      </c>
      <c r="O84" s="178" t="s">
        <v>26</v>
      </c>
      <c r="P84" s="215"/>
    </row>
    <row r="85" spans="1:16" ht="15.6" x14ac:dyDescent="0.3">
      <c r="A85" s="49"/>
      <c r="B85" s="198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100"/>
      <c r="P85" s="96"/>
    </row>
    <row r="86" spans="1:16" ht="15.6" x14ac:dyDescent="0.3">
      <c r="A86" s="164" t="s">
        <v>1033</v>
      </c>
      <c r="B86" s="198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100"/>
      <c r="P86" s="96"/>
    </row>
    <row r="87" spans="1:16" ht="15.6" x14ac:dyDescent="0.3">
      <c r="A87" s="12" t="s">
        <v>1034</v>
      </c>
      <c r="B87" s="22" t="s">
        <v>88</v>
      </c>
      <c r="C87" s="222">
        <v>8.3796159753313333</v>
      </c>
      <c r="D87" s="222">
        <v>8.4421203178402759</v>
      </c>
      <c r="E87" s="222">
        <v>7.4025508741759811</v>
      </c>
      <c r="F87" s="222">
        <v>6.5777090471973763</v>
      </c>
      <c r="G87" s="222">
        <v>7.66804109473716</v>
      </c>
      <c r="H87" s="222">
        <v>8.7880003821534345</v>
      </c>
      <c r="I87" s="222">
        <v>10.436132607241808</v>
      </c>
      <c r="J87" s="222">
        <v>9.6278780930543597</v>
      </c>
      <c r="K87" s="222">
        <v>8.5411292633992542</v>
      </c>
      <c r="L87" s="222">
        <v>9.3018534441578282</v>
      </c>
      <c r="M87" s="222">
        <v>6.3771854399541414</v>
      </c>
      <c r="N87" s="222">
        <v>4.7052641635616697</v>
      </c>
      <c r="O87" s="18" t="s">
        <v>26</v>
      </c>
      <c r="P87" s="96" t="s">
        <v>1035</v>
      </c>
    </row>
    <row r="88" spans="1:16" ht="15.6" x14ac:dyDescent="0.3">
      <c r="A88" s="12" t="s">
        <v>1036</v>
      </c>
      <c r="B88" s="22" t="s">
        <v>88</v>
      </c>
      <c r="C88" s="222">
        <v>4.3043852106620806</v>
      </c>
      <c r="D88" s="222">
        <v>4.3043852106620806</v>
      </c>
      <c r="E88" s="222">
        <v>3.2602464889653193</v>
      </c>
      <c r="F88" s="222">
        <v>3.2602464889653193</v>
      </c>
      <c r="G88" s="222">
        <v>4.3469953186204258</v>
      </c>
      <c r="H88" s="222">
        <v>5.4337441482755322</v>
      </c>
      <c r="I88" s="222">
        <v>7.607241807585746</v>
      </c>
      <c r="J88" s="222">
        <v>7.607241807585746</v>
      </c>
      <c r="K88" s="222">
        <v>6.5204929779306386</v>
      </c>
      <c r="L88" s="222">
        <v>7.2812171586892136</v>
      </c>
      <c r="M88" s="222">
        <v>4.3469953186204258</v>
      </c>
      <c r="N88" s="222">
        <v>3.702111397726187</v>
      </c>
      <c r="O88" s="18" t="s">
        <v>26</v>
      </c>
      <c r="P88" s="96"/>
    </row>
    <row r="89" spans="1:16" ht="15.6" x14ac:dyDescent="0.3">
      <c r="A89" s="12" t="s">
        <v>138</v>
      </c>
      <c r="B89" s="22" t="s">
        <v>88</v>
      </c>
      <c r="C89" s="222">
        <v>3.2814460719394321</v>
      </c>
      <c r="D89" s="222">
        <v>4.1377351071781954</v>
      </c>
      <c r="E89" s="222">
        <v>4.1423043852106618</v>
      </c>
      <c r="F89" s="222">
        <v>3.3174625582320556</v>
      </c>
      <c r="G89" s="222">
        <v>3.3210457761167347</v>
      </c>
      <c r="H89" s="222">
        <v>3.3542562338779014</v>
      </c>
      <c r="I89" s="222">
        <v>2.8288907996560613</v>
      </c>
      <c r="J89" s="222">
        <v>2.0206362854686155</v>
      </c>
      <c r="K89" s="222">
        <v>2.0206362854686155</v>
      </c>
      <c r="L89" s="222">
        <v>2.0206362854686155</v>
      </c>
      <c r="M89" s="222">
        <v>2.0301901213337152</v>
      </c>
      <c r="N89" s="222">
        <v>1.0031527658354829</v>
      </c>
      <c r="O89" s="18" t="s">
        <v>26</v>
      </c>
      <c r="P89" s="96"/>
    </row>
    <row r="90" spans="1:16" ht="15.6" x14ac:dyDescent="0.3">
      <c r="A90" s="12" t="s">
        <v>1037</v>
      </c>
      <c r="B90" s="22" t="s">
        <v>88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22">
        <v>0</v>
      </c>
      <c r="I90" s="222">
        <v>0</v>
      </c>
      <c r="J90" s="222">
        <v>0</v>
      </c>
      <c r="K90" s="222">
        <v>0</v>
      </c>
      <c r="L90" s="222">
        <v>0</v>
      </c>
      <c r="M90" s="222">
        <v>0</v>
      </c>
      <c r="N90" s="222">
        <v>0</v>
      </c>
      <c r="O90" s="18" t="s">
        <v>26</v>
      </c>
      <c r="P90" s="96"/>
    </row>
    <row r="91" spans="1:16" ht="15.6" x14ac:dyDescent="0.3">
      <c r="A91" s="12" t="s">
        <v>1038</v>
      </c>
      <c r="B91" s="22" t="s">
        <v>88</v>
      </c>
      <c r="C91" s="222">
        <v>31.29627870543144</v>
      </c>
      <c r="D91" s="222">
        <v>29.288366368391301</v>
      </c>
      <c r="E91" s="222">
        <v>31.769570963994301</v>
      </c>
      <c r="F91" s="222">
        <v>30.445818255629355</v>
      </c>
      <c r="G91" s="222">
        <v>30.284178847807389</v>
      </c>
      <c r="H91" s="222">
        <v>28.352585148701497</v>
      </c>
      <c r="I91" s="222">
        <v>33.361615231142892</v>
      </c>
      <c r="J91" s="222">
        <v>32.00050068780449</v>
      </c>
      <c r="K91" s="222">
        <v>31.935379871764088</v>
      </c>
      <c r="L91" s="222">
        <v>34.703257757195239</v>
      </c>
      <c r="M91" s="222">
        <v>33.734594439667525</v>
      </c>
      <c r="N91" s="222">
        <v>36.245461927964072</v>
      </c>
      <c r="O91" s="18" t="s">
        <v>26</v>
      </c>
      <c r="P91" s="96"/>
    </row>
    <row r="92" spans="1:16" ht="15.6" x14ac:dyDescent="0.3">
      <c r="A92" s="12" t="s">
        <v>1039</v>
      </c>
      <c r="B92" s="22" t="s">
        <v>88</v>
      </c>
      <c r="C92" s="222">
        <v>8.6290245533581729</v>
      </c>
      <c r="D92" s="222">
        <v>10.689786949460208</v>
      </c>
      <c r="E92" s="222">
        <v>9.831852488774242</v>
      </c>
      <c r="F92" s="222">
        <v>9.831852488774242</v>
      </c>
      <c r="G92" s="222">
        <v>8.1707270469093345</v>
      </c>
      <c r="H92" s="222">
        <v>5.1361421610776725</v>
      </c>
      <c r="I92" s="222">
        <v>1.9453998280309543</v>
      </c>
      <c r="J92" s="222">
        <v>2.1018438903219643</v>
      </c>
      <c r="K92" s="222">
        <v>1.0509219451609821</v>
      </c>
      <c r="L92" s="222">
        <v>1.0509219451609821</v>
      </c>
      <c r="M92" s="222">
        <v>0.95538358650998356</v>
      </c>
      <c r="N92" s="222">
        <v>0.59711474156873978</v>
      </c>
      <c r="O92" s="18" t="s">
        <v>26</v>
      </c>
      <c r="P92" s="96"/>
    </row>
    <row r="93" spans="1:16" ht="15.6" x14ac:dyDescent="0.3">
      <c r="A93" s="12" t="s">
        <v>114</v>
      </c>
      <c r="B93" s="22" t="s">
        <v>88</v>
      </c>
      <c r="C93" s="222">
        <v>5.1896436419222312</v>
      </c>
      <c r="D93" s="222">
        <v>6.4860991688162786</v>
      </c>
      <c r="E93" s="222">
        <v>5.83834909716251</v>
      </c>
      <c r="F93" s="222">
        <v>5.83834909716251</v>
      </c>
      <c r="G93" s="222">
        <v>4.5402694181713956</v>
      </c>
      <c r="H93" s="222">
        <v>2.5948218209611156</v>
      </c>
      <c r="I93" s="222">
        <v>1.9453998280309543</v>
      </c>
      <c r="J93" s="222">
        <v>2.1018438903219643</v>
      </c>
      <c r="K93" s="222">
        <v>1.0509219451609821</v>
      </c>
      <c r="L93" s="222">
        <v>1.0509219451609821</v>
      </c>
      <c r="M93" s="222">
        <v>0.95538358650998356</v>
      </c>
      <c r="N93" s="222">
        <v>0.95538358650998356</v>
      </c>
      <c r="O93" s="18" t="s">
        <v>26</v>
      </c>
      <c r="P93" s="96"/>
    </row>
    <row r="94" spans="1:16" ht="15.6" x14ac:dyDescent="0.3">
      <c r="A94" s="12" t="s">
        <v>313</v>
      </c>
      <c r="B94" s="22" t="s">
        <v>88</v>
      </c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222">
        <v>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  <c r="O94" s="18" t="s">
        <v>26</v>
      </c>
      <c r="P94" s="96"/>
    </row>
    <row r="95" spans="1:16" ht="15.6" x14ac:dyDescent="0.3">
      <c r="A95" s="12" t="s">
        <v>142</v>
      </c>
      <c r="B95" s="22" t="s">
        <v>88</v>
      </c>
      <c r="C95" s="222">
        <v>3.4393809114359413</v>
      </c>
      <c r="D95" s="222">
        <v>4.2036877806439286</v>
      </c>
      <c r="E95" s="222">
        <v>3.9935033916117315</v>
      </c>
      <c r="F95" s="222">
        <v>3.9935033916117315</v>
      </c>
      <c r="G95" s="222">
        <v>3.630457628737938</v>
      </c>
      <c r="H95" s="222">
        <v>2.5413203401165569</v>
      </c>
      <c r="I95" s="222">
        <v>0</v>
      </c>
      <c r="J95" s="222">
        <v>0</v>
      </c>
      <c r="K95" s="222">
        <v>0</v>
      </c>
      <c r="L95" s="222">
        <v>0</v>
      </c>
      <c r="M95" s="222">
        <v>0</v>
      </c>
      <c r="N95" s="222">
        <v>0</v>
      </c>
      <c r="O95" s="18" t="s">
        <v>26</v>
      </c>
      <c r="P95" s="96"/>
    </row>
    <row r="96" spans="1:16" ht="15.6" x14ac:dyDescent="0.3">
      <c r="A96" s="12" t="s">
        <v>1040</v>
      </c>
      <c r="B96" s="22" t="s">
        <v>88</v>
      </c>
      <c r="C96" s="222">
        <v>43.486672398968182</v>
      </c>
      <c r="D96" s="222">
        <v>41.9061049011178</v>
      </c>
      <c r="E96" s="222">
        <v>43.391917454858124</v>
      </c>
      <c r="F96" s="222">
        <v>41.693895098882194</v>
      </c>
      <c r="G96" s="222">
        <v>39.026569217540846</v>
      </c>
      <c r="H96" s="222">
        <v>38.92828890799656</v>
      </c>
      <c r="I96" s="222">
        <v>44.41186586414446</v>
      </c>
      <c r="J96" s="222">
        <v>45.372312983662944</v>
      </c>
      <c r="K96" s="222">
        <v>44.780739466895959</v>
      </c>
      <c r="L96" s="222">
        <v>51.616509028374892</v>
      </c>
      <c r="M96" s="222">
        <v>51.540556033247341</v>
      </c>
      <c r="N96" s="222">
        <v>59.411483710709852</v>
      </c>
      <c r="O96" s="18" t="s">
        <v>26</v>
      </c>
      <c r="P96" s="96"/>
    </row>
    <row r="97" spans="1:16" ht="15.6" x14ac:dyDescent="0.3">
      <c r="A97" s="12" t="s">
        <v>1041</v>
      </c>
      <c r="B97" s="22" t="s">
        <v>88</v>
      </c>
      <c r="C97" s="222">
        <v>225.27213910196122</v>
      </c>
      <c r="D97" s="222">
        <v>212.87780011616758</v>
      </c>
      <c r="E97" s="222">
        <v>216.25283257068722</v>
      </c>
      <c r="F97" s="222">
        <v>207.78542853052014</v>
      </c>
      <c r="G97" s="222">
        <v>191.20149402434762</v>
      </c>
      <c r="H97" s="222">
        <v>186.12804525753782</v>
      </c>
      <c r="I97" s="222">
        <v>205.43217410794622</v>
      </c>
      <c r="J97" s="222">
        <v>208.9246616021488</v>
      </c>
      <c r="K97" s="222">
        <v>205.42673286550348</v>
      </c>
      <c r="L97" s="222">
        <v>218.77453362742528</v>
      </c>
      <c r="M97" s="222">
        <v>210.31754238204715</v>
      </c>
      <c r="N97" s="222">
        <v>215.1339746503383</v>
      </c>
      <c r="O97" s="18" t="s">
        <v>26</v>
      </c>
      <c r="P97" s="96"/>
    </row>
    <row r="98" spans="1:16" ht="15.6" x14ac:dyDescent="0.3">
      <c r="A98" s="12" t="s">
        <v>1042</v>
      </c>
      <c r="B98" s="22" t="s">
        <v>88</v>
      </c>
      <c r="C98" s="222">
        <v>215.94726282602463</v>
      </c>
      <c r="D98" s="222">
        <v>182.27524601127351</v>
      </c>
      <c r="E98" s="222">
        <v>194.62357886691504</v>
      </c>
      <c r="F98" s="222">
        <v>186.82526034202732</v>
      </c>
      <c r="G98" s="222">
        <v>182.02374128212475</v>
      </c>
      <c r="H98" s="222">
        <v>180.7227476831948</v>
      </c>
      <c r="I98" s="222">
        <v>191.88879335053022</v>
      </c>
      <c r="J98" s="222">
        <v>183.49622623483327</v>
      </c>
      <c r="K98" s="222">
        <v>185.22499283462312</v>
      </c>
      <c r="L98" s="222">
        <v>181.62224132989394</v>
      </c>
      <c r="M98" s="222">
        <v>190.31241043278874</v>
      </c>
      <c r="N98" s="222">
        <v>186.18515333906561</v>
      </c>
      <c r="O98" s="18" t="s">
        <v>26</v>
      </c>
      <c r="P98" s="96"/>
    </row>
    <row r="99" spans="1:16" ht="15.6" x14ac:dyDescent="0.3">
      <c r="A99" s="23" t="s">
        <v>1043</v>
      </c>
      <c r="B99" s="204" t="s">
        <v>88</v>
      </c>
      <c r="C99" s="223">
        <v>533.010993561075</v>
      </c>
      <c r="D99" s="223">
        <v>485.47942466425064</v>
      </c>
      <c r="E99" s="223">
        <v>503.27230321940488</v>
      </c>
      <c r="F99" s="223">
        <v>483.15996376303059</v>
      </c>
      <c r="G99" s="223">
        <v>458.37475151346712</v>
      </c>
      <c r="H99" s="223">
        <v>448.05580954066181</v>
      </c>
      <c r="I99" s="223">
        <v>487.47598098903654</v>
      </c>
      <c r="J99" s="223">
        <v>481.52342349182584</v>
      </c>
      <c r="K99" s="223">
        <v>476.95989624734682</v>
      </c>
      <c r="L99" s="223">
        <v>497.06931713220814</v>
      </c>
      <c r="M99" s="223">
        <v>493.23767231421488</v>
      </c>
      <c r="N99" s="223">
        <v>502.27845253320828</v>
      </c>
      <c r="O99" s="105"/>
      <c r="P99" s="96"/>
    </row>
    <row r="100" spans="1:16" ht="15.6" x14ac:dyDescent="0.3">
      <c r="A100" s="24" t="s">
        <v>102</v>
      </c>
      <c r="B100" s="25" t="s">
        <v>103</v>
      </c>
      <c r="C100" s="163">
        <f t="shared" ref="C100:N100" si="4">IFERROR((C88+C89+C90+C91+C93+C94+C95+C974+C96+C97+C98)/C99,"")</f>
        <v>0.99851075361987085</v>
      </c>
      <c r="D100" s="163">
        <f t="shared" si="4"/>
        <v>1</v>
      </c>
      <c r="E100" s="163">
        <f t="shared" si="4"/>
        <v>1</v>
      </c>
      <c r="F100" s="163">
        <f t="shared" si="4"/>
        <v>1</v>
      </c>
      <c r="G100" s="163">
        <f t="shared" si="4"/>
        <v>1</v>
      </c>
      <c r="H100" s="163">
        <f t="shared" si="4"/>
        <v>1</v>
      </c>
      <c r="I100" s="163">
        <f t="shared" si="4"/>
        <v>1</v>
      </c>
      <c r="J100" s="163">
        <f t="shared" si="4"/>
        <v>1</v>
      </c>
      <c r="K100" s="163">
        <f t="shared" si="4"/>
        <v>1</v>
      </c>
      <c r="L100" s="163">
        <f t="shared" si="4"/>
        <v>1</v>
      </c>
      <c r="M100" s="163">
        <f t="shared" si="4"/>
        <v>1</v>
      </c>
      <c r="N100" s="163">
        <f t="shared" si="4"/>
        <v>1.0007132873073379</v>
      </c>
      <c r="O100" s="105"/>
      <c r="P100" s="96"/>
    </row>
    <row r="101" spans="1:16" ht="15.6" x14ac:dyDescent="0.3">
      <c r="A101" s="133"/>
      <c r="B101" s="96"/>
      <c r="C101" s="163">
        <f>IFERROR((C87+C91+C92+C96+C97+C98)/C99,"")</f>
        <v>1</v>
      </c>
      <c r="D101" s="163">
        <f t="shared" ref="D101:N101" si="5">IFERROR((D87+D91+D92+D96+D97+D98)/D99,"")</f>
        <v>1</v>
      </c>
      <c r="E101" s="163">
        <f t="shared" si="5"/>
        <v>1</v>
      </c>
      <c r="F101" s="163">
        <f t="shared" si="5"/>
        <v>1</v>
      </c>
      <c r="G101" s="163">
        <f t="shared" si="5"/>
        <v>1</v>
      </c>
      <c r="H101" s="163">
        <f t="shared" si="5"/>
        <v>1</v>
      </c>
      <c r="I101" s="163">
        <f t="shared" si="5"/>
        <v>1</v>
      </c>
      <c r="J101" s="163">
        <f t="shared" si="5"/>
        <v>1</v>
      </c>
      <c r="K101" s="163">
        <f t="shared" si="5"/>
        <v>1</v>
      </c>
      <c r="L101" s="163">
        <f t="shared" si="5"/>
        <v>1</v>
      </c>
      <c r="M101" s="163">
        <f t="shared" si="5"/>
        <v>1</v>
      </c>
      <c r="N101" s="163">
        <f t="shared" si="5"/>
        <v>1</v>
      </c>
      <c r="O101" s="105"/>
      <c r="P101" s="96"/>
    </row>
    <row r="102" spans="1:16" ht="15.6" x14ac:dyDescent="0.3">
      <c r="A102" s="8" t="s">
        <v>1044</v>
      </c>
      <c r="B102" s="107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18"/>
      <c r="P102" s="96"/>
    </row>
    <row r="103" spans="1:16" ht="15.6" x14ac:dyDescent="0.3">
      <c r="A103" s="11"/>
      <c r="B103" s="134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18"/>
      <c r="P103" s="96"/>
    </row>
    <row r="104" spans="1:16" ht="15.6" x14ac:dyDescent="0.3">
      <c r="A104" s="12" t="s">
        <v>1045</v>
      </c>
      <c r="B104" s="22" t="s">
        <v>88</v>
      </c>
      <c r="C104" s="224">
        <v>-3.3958193732023016E-2</v>
      </c>
      <c r="D104" s="224">
        <v>0.91385560649334507</v>
      </c>
      <c r="E104" s="224">
        <v>0.90928632846087709</v>
      </c>
      <c r="F104" s="224">
        <v>0.72381001270517453</v>
      </c>
      <c r="G104" s="224">
        <v>0.72022679482049601</v>
      </c>
      <c r="H104" s="224">
        <v>0.68701633705932974</v>
      </c>
      <c r="I104" s="224">
        <v>0.20206362854686252</v>
      </c>
      <c r="J104" s="224">
        <v>0</v>
      </c>
      <c r="K104" s="224">
        <v>0</v>
      </c>
      <c r="L104" s="224">
        <v>0</v>
      </c>
      <c r="M104" s="224">
        <v>0</v>
      </c>
      <c r="N104" s="224">
        <v>0</v>
      </c>
      <c r="O104" s="18" t="s">
        <v>26</v>
      </c>
      <c r="P104" s="96"/>
    </row>
    <row r="105" spans="1:16" ht="15.6" x14ac:dyDescent="0.3">
      <c r="A105" s="12" t="s">
        <v>1036</v>
      </c>
      <c r="B105" s="22" t="s">
        <v>88</v>
      </c>
      <c r="C105" s="224">
        <v>0</v>
      </c>
      <c r="D105" s="224">
        <v>0</v>
      </c>
      <c r="E105" s="224">
        <v>0</v>
      </c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224">
        <v>0</v>
      </c>
      <c r="M105" s="224">
        <v>0</v>
      </c>
      <c r="N105" s="224">
        <v>0</v>
      </c>
      <c r="O105" s="18" t="s">
        <v>26</v>
      </c>
      <c r="P105" s="96"/>
    </row>
    <row r="106" spans="1:16" ht="15.6" x14ac:dyDescent="0.3">
      <c r="A106" s="12" t="s">
        <v>138</v>
      </c>
      <c r="B106" s="22" t="s">
        <v>88</v>
      </c>
      <c r="C106" s="224">
        <v>0.75982649899779897</v>
      </c>
      <c r="D106" s="224">
        <v>0.91385560649334363</v>
      </c>
      <c r="E106" s="224">
        <v>0.90928632846087698</v>
      </c>
      <c r="F106" s="224">
        <v>0.72381001270517575</v>
      </c>
      <c r="G106" s="224">
        <v>0.72022679482049667</v>
      </c>
      <c r="H106" s="224">
        <v>0.68701633705932919</v>
      </c>
      <c r="I106" s="224">
        <v>0.20206362854686155</v>
      </c>
      <c r="J106" s="224">
        <v>0</v>
      </c>
      <c r="K106" s="224">
        <v>0</v>
      </c>
      <c r="L106" s="224">
        <v>0</v>
      </c>
      <c r="M106" s="224">
        <v>0</v>
      </c>
      <c r="N106" s="224">
        <v>0</v>
      </c>
      <c r="O106" s="18" t="s">
        <v>26</v>
      </c>
      <c r="P106" s="96"/>
    </row>
    <row r="107" spans="1:16" ht="15.6" x14ac:dyDescent="0.3">
      <c r="A107" s="12" t="s">
        <v>1037</v>
      </c>
      <c r="B107" s="22" t="s">
        <v>88</v>
      </c>
      <c r="C107" s="224">
        <v>0</v>
      </c>
      <c r="D107" s="224">
        <v>0</v>
      </c>
      <c r="E107" s="224">
        <v>0</v>
      </c>
      <c r="F107" s="224">
        <v>0</v>
      </c>
      <c r="G107" s="224">
        <v>0</v>
      </c>
      <c r="H107" s="224">
        <v>0</v>
      </c>
      <c r="I107" s="224">
        <v>0</v>
      </c>
      <c r="J107" s="224">
        <v>0</v>
      </c>
      <c r="K107" s="224">
        <v>0</v>
      </c>
      <c r="L107" s="224">
        <v>0</v>
      </c>
      <c r="M107" s="224">
        <v>0</v>
      </c>
      <c r="N107" s="224">
        <v>0</v>
      </c>
      <c r="O107" s="18" t="s">
        <v>26</v>
      </c>
      <c r="P107" s="96"/>
    </row>
    <row r="108" spans="1:16" ht="15.6" x14ac:dyDescent="0.3">
      <c r="A108" s="12" t="s">
        <v>1046</v>
      </c>
      <c r="B108" s="22" t="s">
        <v>88</v>
      </c>
      <c r="C108" s="224">
        <v>11.807196464614938</v>
      </c>
      <c r="D108" s="224">
        <v>11.198942830899409</v>
      </c>
      <c r="E108" s="224">
        <v>11.502775693860006</v>
      </c>
      <c r="F108" s="224">
        <v>11.023485920141663</v>
      </c>
      <c r="G108" s="224">
        <v>10.964961306964744</v>
      </c>
      <c r="H108" s="224">
        <v>10.265591174529852</v>
      </c>
      <c r="I108" s="224">
        <v>12.079205514724151</v>
      </c>
      <c r="J108" s="224">
        <v>11.586388180067145</v>
      </c>
      <c r="K108" s="224">
        <v>11.562809953569756</v>
      </c>
      <c r="L108" s="224">
        <v>11.567752585731746</v>
      </c>
      <c r="M108" s="224">
        <v>11.24486481322251</v>
      </c>
      <c r="N108" s="224">
        <v>12.061717779688545</v>
      </c>
      <c r="O108" s="18" t="s">
        <v>26</v>
      </c>
      <c r="P108" s="96"/>
    </row>
    <row r="109" spans="1:16" ht="15.6" x14ac:dyDescent="0.3">
      <c r="A109" s="12" t="s">
        <v>1047</v>
      </c>
      <c r="B109" s="22" t="s">
        <v>88</v>
      </c>
      <c r="C109" s="224">
        <v>0</v>
      </c>
      <c r="D109" s="224">
        <v>0</v>
      </c>
      <c r="E109" s="224">
        <v>0</v>
      </c>
      <c r="F109" s="224">
        <v>0</v>
      </c>
      <c r="G109" s="224">
        <v>0</v>
      </c>
      <c r="H109" s="224">
        <v>0</v>
      </c>
      <c r="I109" s="224">
        <v>0</v>
      </c>
      <c r="J109" s="224">
        <v>0</v>
      </c>
      <c r="K109" s="224">
        <v>0</v>
      </c>
      <c r="L109" s="224">
        <v>0</v>
      </c>
      <c r="M109" s="224">
        <v>0</v>
      </c>
      <c r="N109" s="224">
        <v>0</v>
      </c>
      <c r="O109" s="18" t="s">
        <v>26</v>
      </c>
      <c r="P109" s="96"/>
    </row>
    <row r="110" spans="1:16" ht="15.6" x14ac:dyDescent="0.3">
      <c r="A110" s="12" t="s">
        <v>114</v>
      </c>
      <c r="B110" s="22" t="s">
        <v>88</v>
      </c>
      <c r="C110" s="224">
        <v>0</v>
      </c>
      <c r="D110" s="224">
        <v>0</v>
      </c>
      <c r="E110" s="224">
        <v>0</v>
      </c>
      <c r="F110" s="224">
        <v>0</v>
      </c>
      <c r="G110" s="224">
        <v>0</v>
      </c>
      <c r="H110" s="224">
        <v>0</v>
      </c>
      <c r="I110" s="224">
        <v>0</v>
      </c>
      <c r="J110" s="224">
        <v>0</v>
      </c>
      <c r="K110" s="224">
        <v>0</v>
      </c>
      <c r="L110" s="224">
        <v>0</v>
      </c>
      <c r="M110" s="224">
        <v>0</v>
      </c>
      <c r="N110" s="224">
        <v>0</v>
      </c>
      <c r="O110" s="18" t="s">
        <v>26</v>
      </c>
      <c r="P110" s="96"/>
    </row>
    <row r="111" spans="1:16" ht="15.6" x14ac:dyDescent="0.3">
      <c r="A111" s="12" t="s">
        <v>313</v>
      </c>
      <c r="B111" s="22" t="s">
        <v>88</v>
      </c>
      <c r="C111" s="224">
        <v>0</v>
      </c>
      <c r="D111" s="224">
        <v>0</v>
      </c>
      <c r="E111" s="224">
        <v>0</v>
      </c>
      <c r="F111" s="224">
        <v>0</v>
      </c>
      <c r="G111" s="224">
        <v>0</v>
      </c>
      <c r="H111" s="224">
        <v>0</v>
      </c>
      <c r="I111" s="224">
        <v>0</v>
      </c>
      <c r="J111" s="224">
        <v>0</v>
      </c>
      <c r="K111" s="224">
        <v>0</v>
      </c>
      <c r="L111" s="224">
        <v>0</v>
      </c>
      <c r="M111" s="224">
        <v>0</v>
      </c>
      <c r="N111" s="224">
        <v>0</v>
      </c>
      <c r="O111" s="18" t="s">
        <v>26</v>
      </c>
      <c r="P111" s="96"/>
    </row>
    <row r="112" spans="1:16" ht="15.6" x14ac:dyDescent="0.3">
      <c r="A112" s="12" t="s">
        <v>142</v>
      </c>
      <c r="B112" s="22" t="s">
        <v>88</v>
      </c>
      <c r="C112" s="224">
        <v>0</v>
      </c>
      <c r="D112" s="224">
        <v>0</v>
      </c>
      <c r="E112" s="224">
        <v>0</v>
      </c>
      <c r="F112" s="224">
        <v>0</v>
      </c>
      <c r="G112" s="224">
        <v>0</v>
      </c>
      <c r="H112" s="224">
        <v>0</v>
      </c>
      <c r="I112" s="224">
        <v>0</v>
      </c>
      <c r="J112" s="224">
        <v>0</v>
      </c>
      <c r="K112" s="224">
        <v>0</v>
      </c>
      <c r="L112" s="224">
        <v>0</v>
      </c>
      <c r="M112" s="224">
        <v>0</v>
      </c>
      <c r="N112" s="224">
        <v>0</v>
      </c>
      <c r="O112" s="18" t="s">
        <v>26</v>
      </c>
      <c r="P112" s="99"/>
    </row>
    <row r="113" spans="1:16" ht="15.6" x14ac:dyDescent="0.3">
      <c r="A113" s="12" t="s">
        <v>1048</v>
      </c>
      <c r="B113" s="22" t="s">
        <v>88</v>
      </c>
      <c r="C113" s="224">
        <v>132.32793732872568</v>
      </c>
      <c r="D113" s="224">
        <v>119.78676470660881</v>
      </c>
      <c r="E113" s="224">
        <v>123.64876291990224</v>
      </c>
      <c r="F113" s="224">
        <v>122.29960060867924</v>
      </c>
      <c r="G113" s="224">
        <v>107.1648000427203</v>
      </c>
      <c r="H113" s="224">
        <v>97.358149449637082</v>
      </c>
      <c r="I113" s="224">
        <v>106.4289131185752</v>
      </c>
      <c r="J113" s="224">
        <v>109.21807270567578</v>
      </c>
      <c r="K113" s="224">
        <v>117.01522758161603</v>
      </c>
      <c r="L113" s="224">
        <v>107.9666529589891</v>
      </c>
      <c r="M113" s="224">
        <v>102.57058219997251</v>
      </c>
      <c r="N113" s="224">
        <v>104.91952683050621</v>
      </c>
      <c r="O113" s="18" t="s">
        <v>26</v>
      </c>
      <c r="P113" s="99"/>
    </row>
    <row r="114" spans="1:16" ht="15.6" x14ac:dyDescent="0.3">
      <c r="A114" s="12" t="s">
        <v>1049</v>
      </c>
      <c r="B114" s="22" t="s">
        <v>88</v>
      </c>
      <c r="C114" s="224">
        <v>39.336008407375559</v>
      </c>
      <c r="D114" s="224">
        <v>37.25843126015095</v>
      </c>
      <c r="E114" s="224">
        <v>37.729077099455424</v>
      </c>
      <c r="F114" s="224">
        <v>37.29960829272953</v>
      </c>
      <c r="G114" s="224">
        <v>33.417024935511606</v>
      </c>
      <c r="H114" s="224">
        <v>32.317426196617937</v>
      </c>
      <c r="I114" s="224">
        <v>35.864025031049962</v>
      </c>
      <c r="J114" s="224">
        <v>36.268271711092005</v>
      </c>
      <c r="K114" s="224">
        <v>37.080825451418747</v>
      </c>
      <c r="L114" s="224">
        <v>37.248495270851244</v>
      </c>
      <c r="M114" s="224">
        <v>35.35635807776822</v>
      </c>
      <c r="N114" s="224">
        <v>36.166045667335432</v>
      </c>
      <c r="O114" s="18" t="s">
        <v>26</v>
      </c>
      <c r="P114" s="99"/>
    </row>
    <row r="115" spans="1:16" ht="15.6" x14ac:dyDescent="0.3">
      <c r="A115" s="12" t="s">
        <v>1042</v>
      </c>
      <c r="B115" s="22" t="s">
        <v>88</v>
      </c>
      <c r="C115" s="224">
        <v>107.93211905952786</v>
      </c>
      <c r="D115" s="224">
        <v>102.07413776631316</v>
      </c>
      <c r="E115" s="224">
        <v>108.98920416547246</v>
      </c>
      <c r="F115" s="224">
        <v>104.62214579153529</v>
      </c>
      <c r="G115" s="224">
        <v>113.717456027983</v>
      </c>
      <c r="H115" s="224">
        <v>108.43364860991687</v>
      </c>
      <c r="I115" s="224">
        <v>115.13327601031813</v>
      </c>
      <c r="J115" s="224">
        <v>141.21484137583366</v>
      </c>
      <c r="K115" s="224">
        <v>142.54526383832467</v>
      </c>
      <c r="L115" s="224">
        <v>134.00946625903637</v>
      </c>
      <c r="M115" s="224">
        <v>140.42148339224866</v>
      </c>
      <c r="N115" s="224">
        <v>131.88115028183813</v>
      </c>
      <c r="O115" s="18" t="s">
        <v>26</v>
      </c>
      <c r="P115" s="99"/>
    </row>
    <row r="116" spans="1:16" x14ac:dyDescent="0.3">
      <c r="A116" s="23" t="s">
        <v>1050</v>
      </c>
      <c r="B116" s="195" t="s">
        <v>88</v>
      </c>
      <c r="C116" s="223">
        <v>291.36930306651203</v>
      </c>
      <c r="D116" s="223">
        <v>271.23213217046566</v>
      </c>
      <c r="E116" s="223">
        <v>282.77910620715102</v>
      </c>
      <c r="F116" s="223">
        <v>275.96865062579087</v>
      </c>
      <c r="G116" s="223">
        <v>265.98446910800016</v>
      </c>
      <c r="H116" s="223">
        <v>249.06183176776108</v>
      </c>
      <c r="I116" s="223">
        <v>269.7074833032143</v>
      </c>
      <c r="J116" s="223">
        <v>298.28757397266861</v>
      </c>
      <c r="K116" s="223">
        <v>308.20412682492918</v>
      </c>
      <c r="L116" s="223">
        <v>290.79236707460848</v>
      </c>
      <c r="M116" s="223">
        <v>289.59328848321189</v>
      </c>
      <c r="N116" s="223">
        <v>285.02844055936833</v>
      </c>
      <c r="O116" s="105"/>
      <c r="P116" s="131"/>
    </row>
    <row r="117" spans="1:16" x14ac:dyDescent="0.3">
      <c r="A117" s="24" t="s">
        <v>102</v>
      </c>
      <c r="B117" s="25" t="s">
        <v>103</v>
      </c>
      <c r="C117" s="163">
        <f>IFERROR((C105+C106+C107+C108+C110+C111+C112+C113+C114+C115)/C116,"")</f>
        <v>1.0027243250554385</v>
      </c>
      <c r="D117" s="163">
        <f t="shared" ref="D117:N117" si="6">IFERROR((D105+D106+D107+D108+D110+D111+D112+D113+D114+D115)/D116,"")</f>
        <v>1</v>
      </c>
      <c r="E117" s="163">
        <f t="shared" si="6"/>
        <v>1</v>
      </c>
      <c r="F117" s="163">
        <f t="shared" si="6"/>
        <v>1</v>
      </c>
      <c r="G117" s="163">
        <f t="shared" si="6"/>
        <v>1</v>
      </c>
      <c r="H117" s="163">
        <f t="shared" si="6"/>
        <v>1</v>
      </c>
      <c r="I117" s="163">
        <f t="shared" si="6"/>
        <v>1</v>
      </c>
      <c r="J117" s="163">
        <f t="shared" si="6"/>
        <v>1</v>
      </c>
      <c r="K117" s="163">
        <f t="shared" si="6"/>
        <v>1</v>
      </c>
      <c r="L117" s="163">
        <f t="shared" si="6"/>
        <v>1</v>
      </c>
      <c r="M117" s="163">
        <f t="shared" si="6"/>
        <v>1</v>
      </c>
      <c r="N117" s="163">
        <f t="shared" si="6"/>
        <v>1</v>
      </c>
      <c r="O117" s="11"/>
      <c r="P117" s="11"/>
    </row>
    <row r="118" spans="1:16" x14ac:dyDescent="0.3">
      <c r="A118" s="11"/>
      <c r="B118" s="11"/>
      <c r="C118" s="163">
        <f>IFERROR((C104+C108+C109+C113+C114+C115)/C116,"")</f>
        <v>1</v>
      </c>
      <c r="D118" s="163">
        <f t="shared" ref="D118:N118" si="7">IFERROR((D104+D108+D109+D113+D114+D115)/D116,"")</f>
        <v>1</v>
      </c>
      <c r="E118" s="163">
        <f t="shared" si="7"/>
        <v>1</v>
      </c>
      <c r="F118" s="163">
        <f t="shared" si="7"/>
        <v>1</v>
      </c>
      <c r="G118" s="163">
        <f t="shared" si="7"/>
        <v>1</v>
      </c>
      <c r="H118" s="163">
        <f t="shared" si="7"/>
        <v>1</v>
      </c>
      <c r="I118" s="163">
        <f t="shared" si="7"/>
        <v>1</v>
      </c>
      <c r="J118" s="163">
        <f t="shared" si="7"/>
        <v>1</v>
      </c>
      <c r="K118" s="163">
        <f t="shared" si="7"/>
        <v>1</v>
      </c>
      <c r="L118" s="163">
        <f t="shared" si="7"/>
        <v>1</v>
      </c>
      <c r="M118" s="163">
        <f t="shared" si="7"/>
        <v>1</v>
      </c>
      <c r="N118" s="163">
        <f t="shared" si="7"/>
        <v>1</v>
      </c>
      <c r="O118" s="11"/>
      <c r="P118" s="11"/>
    </row>
    <row r="119" spans="1:16" ht="15.6" x14ac:dyDescent="0.3">
      <c r="A119" s="8" t="s">
        <v>1051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3">
      <c r="A121" s="12" t="s">
        <v>1052</v>
      </c>
      <c r="B121" s="22" t="s">
        <v>88</v>
      </c>
      <c r="C121" s="224">
        <v>0</v>
      </c>
      <c r="D121" s="224">
        <v>0</v>
      </c>
      <c r="E121" s="224">
        <v>0</v>
      </c>
      <c r="F121" s="224">
        <v>0</v>
      </c>
      <c r="G121" s="224">
        <v>0</v>
      </c>
      <c r="H121" s="224">
        <v>0</v>
      </c>
      <c r="I121" s="224">
        <v>0</v>
      </c>
      <c r="J121" s="224">
        <v>0</v>
      </c>
      <c r="K121" s="224">
        <v>0</v>
      </c>
      <c r="L121" s="224">
        <v>0</v>
      </c>
      <c r="M121" s="224">
        <v>0</v>
      </c>
      <c r="N121" s="224">
        <v>0</v>
      </c>
      <c r="O121" s="18" t="s">
        <v>26</v>
      </c>
      <c r="P121" s="11"/>
    </row>
    <row r="122" spans="1:16" x14ac:dyDescent="0.3">
      <c r="A122" s="12" t="s">
        <v>1036</v>
      </c>
      <c r="B122" s="22" t="s">
        <v>88</v>
      </c>
      <c r="C122" s="224">
        <v>0</v>
      </c>
      <c r="D122" s="224">
        <v>0</v>
      </c>
      <c r="E122" s="224">
        <v>0</v>
      </c>
      <c r="F122" s="224">
        <v>0</v>
      </c>
      <c r="G122" s="224">
        <v>0</v>
      </c>
      <c r="H122" s="224">
        <v>0</v>
      </c>
      <c r="I122" s="224">
        <v>0</v>
      </c>
      <c r="J122" s="224">
        <v>0</v>
      </c>
      <c r="K122" s="224">
        <v>0</v>
      </c>
      <c r="L122" s="224">
        <v>0</v>
      </c>
      <c r="M122" s="224">
        <v>0</v>
      </c>
      <c r="N122" s="224">
        <v>0</v>
      </c>
      <c r="O122" s="18" t="s">
        <v>26</v>
      </c>
      <c r="P122" s="11"/>
    </row>
    <row r="123" spans="1:16" x14ac:dyDescent="0.3">
      <c r="A123" s="12" t="s">
        <v>138</v>
      </c>
      <c r="B123" s="22" t="s">
        <v>88</v>
      </c>
      <c r="C123" s="224">
        <v>0</v>
      </c>
      <c r="D123" s="224">
        <v>0</v>
      </c>
      <c r="E123" s="224">
        <v>0</v>
      </c>
      <c r="F123" s="224">
        <v>0</v>
      </c>
      <c r="G123" s="224">
        <v>0</v>
      </c>
      <c r="H123" s="224">
        <v>0</v>
      </c>
      <c r="I123" s="224">
        <v>0</v>
      </c>
      <c r="J123" s="224">
        <v>0</v>
      </c>
      <c r="K123" s="224">
        <v>0</v>
      </c>
      <c r="L123" s="224">
        <v>0</v>
      </c>
      <c r="M123" s="224">
        <v>0</v>
      </c>
      <c r="N123" s="224">
        <v>0</v>
      </c>
      <c r="O123" s="18" t="s">
        <v>26</v>
      </c>
      <c r="P123" s="11"/>
    </row>
    <row r="124" spans="1:16" x14ac:dyDescent="0.3">
      <c r="A124" s="12" t="s">
        <v>1037</v>
      </c>
      <c r="B124" s="22" t="s">
        <v>88</v>
      </c>
      <c r="C124" s="224">
        <v>0</v>
      </c>
      <c r="D124" s="224">
        <v>0</v>
      </c>
      <c r="E124" s="224">
        <v>0</v>
      </c>
      <c r="F124" s="224">
        <v>0</v>
      </c>
      <c r="G124" s="224">
        <v>0</v>
      </c>
      <c r="H124" s="224">
        <v>0</v>
      </c>
      <c r="I124" s="224">
        <v>0</v>
      </c>
      <c r="J124" s="224">
        <v>0</v>
      </c>
      <c r="K124" s="224">
        <v>0</v>
      </c>
      <c r="L124" s="224">
        <v>0</v>
      </c>
      <c r="M124" s="224">
        <v>0</v>
      </c>
      <c r="N124" s="224">
        <v>0</v>
      </c>
      <c r="O124" s="18" t="s">
        <v>26</v>
      </c>
      <c r="P124" s="11"/>
    </row>
    <row r="125" spans="1:16" x14ac:dyDescent="0.3">
      <c r="A125" s="12" t="s">
        <v>1053</v>
      </c>
      <c r="B125" s="22" t="s">
        <v>88</v>
      </c>
      <c r="C125" s="224">
        <v>11.807196464614938</v>
      </c>
      <c r="D125" s="224">
        <v>11.198942830899409</v>
      </c>
      <c r="E125" s="224">
        <v>11.502775693860006</v>
      </c>
      <c r="F125" s="224">
        <v>11.023485920141663</v>
      </c>
      <c r="G125" s="224">
        <v>10.964961306964744</v>
      </c>
      <c r="H125" s="224">
        <v>10.265591174529852</v>
      </c>
      <c r="I125" s="224">
        <v>12.079205514724151</v>
      </c>
      <c r="J125" s="224">
        <v>11.586388180067145</v>
      </c>
      <c r="K125" s="224">
        <v>11.562809953569756</v>
      </c>
      <c r="L125" s="224">
        <v>11.567752585731746</v>
      </c>
      <c r="M125" s="224">
        <v>11.24486481322251</v>
      </c>
      <c r="N125" s="224">
        <v>12.001409190790101</v>
      </c>
      <c r="O125" s="18" t="s">
        <v>26</v>
      </c>
      <c r="P125" s="11"/>
    </row>
    <row r="126" spans="1:16" x14ac:dyDescent="0.3">
      <c r="A126" s="12" t="s">
        <v>1054</v>
      </c>
      <c r="B126" s="22" t="s">
        <v>88</v>
      </c>
      <c r="C126" s="224">
        <v>0</v>
      </c>
      <c r="D126" s="224">
        <v>0</v>
      </c>
      <c r="E126" s="224">
        <v>0</v>
      </c>
      <c r="F126" s="224">
        <v>0</v>
      </c>
      <c r="G126" s="224">
        <v>0</v>
      </c>
      <c r="H126" s="224">
        <v>0</v>
      </c>
      <c r="I126" s="224">
        <v>0</v>
      </c>
      <c r="J126" s="224">
        <v>0</v>
      </c>
      <c r="K126" s="224">
        <v>0</v>
      </c>
      <c r="L126" s="224">
        <v>0</v>
      </c>
      <c r="M126" s="224">
        <v>0</v>
      </c>
      <c r="N126" s="224">
        <v>0</v>
      </c>
      <c r="O126" s="18" t="s">
        <v>26</v>
      </c>
      <c r="P126" s="11"/>
    </row>
    <row r="127" spans="1:16" x14ac:dyDescent="0.3">
      <c r="A127" s="12" t="s">
        <v>114</v>
      </c>
      <c r="B127" s="22" t="s">
        <v>88</v>
      </c>
      <c r="C127" s="224">
        <v>0</v>
      </c>
      <c r="D127" s="224">
        <v>0</v>
      </c>
      <c r="E127" s="224">
        <v>0</v>
      </c>
      <c r="F127" s="224">
        <v>0</v>
      </c>
      <c r="G127" s="224">
        <v>0</v>
      </c>
      <c r="H127" s="224">
        <v>0</v>
      </c>
      <c r="I127" s="224">
        <v>0</v>
      </c>
      <c r="J127" s="224">
        <v>0</v>
      </c>
      <c r="K127" s="224">
        <v>0</v>
      </c>
      <c r="L127" s="224">
        <v>0</v>
      </c>
      <c r="M127" s="224">
        <v>0</v>
      </c>
      <c r="N127" s="224">
        <v>0</v>
      </c>
      <c r="O127" s="18" t="s">
        <v>26</v>
      </c>
      <c r="P127" s="11"/>
    </row>
    <row r="128" spans="1:16" x14ac:dyDescent="0.3">
      <c r="A128" s="12" t="s">
        <v>313</v>
      </c>
      <c r="B128" s="22" t="s">
        <v>88</v>
      </c>
      <c r="C128" s="224">
        <v>0</v>
      </c>
      <c r="D128" s="224">
        <v>0</v>
      </c>
      <c r="E128" s="224">
        <v>0</v>
      </c>
      <c r="F128" s="224">
        <v>0</v>
      </c>
      <c r="G128" s="224">
        <v>0</v>
      </c>
      <c r="H128" s="224">
        <v>0</v>
      </c>
      <c r="I128" s="224">
        <v>0</v>
      </c>
      <c r="J128" s="224">
        <v>0</v>
      </c>
      <c r="K128" s="224">
        <v>0</v>
      </c>
      <c r="L128" s="224">
        <v>0</v>
      </c>
      <c r="M128" s="224">
        <v>0</v>
      </c>
      <c r="N128" s="224">
        <v>0</v>
      </c>
      <c r="O128" s="18" t="s">
        <v>26</v>
      </c>
      <c r="P128" s="11"/>
    </row>
    <row r="129" spans="1:16" x14ac:dyDescent="0.3">
      <c r="A129" s="12" t="s">
        <v>142</v>
      </c>
      <c r="B129" s="22" t="s">
        <v>88</v>
      </c>
      <c r="C129" s="224">
        <v>0</v>
      </c>
      <c r="D129" s="224">
        <v>0</v>
      </c>
      <c r="E129" s="224">
        <v>0</v>
      </c>
      <c r="F129" s="224">
        <v>0</v>
      </c>
      <c r="G129" s="224">
        <v>0</v>
      </c>
      <c r="H129" s="224">
        <v>0</v>
      </c>
      <c r="I129" s="224">
        <v>0</v>
      </c>
      <c r="J129" s="224">
        <v>0</v>
      </c>
      <c r="K129" s="224">
        <v>0</v>
      </c>
      <c r="L129" s="224">
        <v>0</v>
      </c>
      <c r="M129" s="224">
        <v>0</v>
      </c>
      <c r="N129" s="224">
        <v>0</v>
      </c>
      <c r="O129" s="18" t="s">
        <v>26</v>
      </c>
      <c r="P129" s="11"/>
    </row>
    <row r="130" spans="1:16" x14ac:dyDescent="0.3">
      <c r="A130" s="12" t="s">
        <v>1055</v>
      </c>
      <c r="B130" s="22" t="s">
        <v>88</v>
      </c>
      <c r="C130" s="224">
        <v>12.176268271711091</v>
      </c>
      <c r="D130" s="224">
        <v>11.806878761822873</v>
      </c>
      <c r="E130" s="224">
        <v>12.109372312983663</v>
      </c>
      <c r="F130" s="224">
        <v>11.385640584694752</v>
      </c>
      <c r="G130" s="224">
        <v>10.915477214101463</v>
      </c>
      <c r="H130" s="224">
        <v>10.995012897678418</v>
      </c>
      <c r="I130" s="224">
        <v>11.843164230438521</v>
      </c>
      <c r="J130" s="224">
        <v>12.177128116938951</v>
      </c>
      <c r="K130" s="224">
        <v>11.515047291487534</v>
      </c>
      <c r="L130" s="224">
        <v>12.637145313843508</v>
      </c>
      <c r="M130" s="224">
        <v>12.026129741091047</v>
      </c>
      <c r="N130" s="224">
        <v>13.223846374319288</v>
      </c>
      <c r="O130" s="18" t="s">
        <v>26</v>
      </c>
      <c r="P130" s="11"/>
    </row>
    <row r="131" spans="1:16" x14ac:dyDescent="0.3">
      <c r="A131" s="12" t="s">
        <v>1056</v>
      </c>
      <c r="B131" s="22" t="s">
        <v>88</v>
      </c>
      <c r="C131" s="224">
        <v>99.546623655672263</v>
      </c>
      <c r="D131" s="224">
        <v>80.201108244960338</v>
      </c>
      <c r="E131" s="224">
        <v>85.634374701442667</v>
      </c>
      <c r="F131" s="224">
        <v>82.203114550492032</v>
      </c>
      <c r="G131" s="224">
        <v>75.735825714636661</v>
      </c>
      <c r="H131" s="224">
        <v>72.289099073277924</v>
      </c>
      <c r="I131" s="224">
        <v>76.755517340212094</v>
      </c>
      <c r="J131" s="224">
        <v>65.706435016637911</v>
      </c>
      <c r="K131" s="224">
        <v>66.325472762420503</v>
      </c>
      <c r="L131" s="224">
        <v>62.747961848348702</v>
      </c>
      <c r="M131" s="224">
        <v>65.750294576605825</v>
      </c>
      <c r="N131" s="224">
        <v>69.81943250214961</v>
      </c>
      <c r="O131" s="18" t="s">
        <v>26</v>
      </c>
      <c r="P131" s="11"/>
    </row>
    <row r="132" spans="1:16" x14ac:dyDescent="0.3">
      <c r="A132" s="23" t="s">
        <v>1057</v>
      </c>
      <c r="B132" s="195" t="s">
        <v>88</v>
      </c>
      <c r="C132" s="225">
        <v>123.53008839199829</v>
      </c>
      <c r="D132" s="225">
        <v>103.20692983768262</v>
      </c>
      <c r="E132" s="225">
        <v>109.24652270828634</v>
      </c>
      <c r="F132" s="225">
        <v>104.61224105532844</v>
      </c>
      <c r="G132" s="225">
        <v>97.616264235702872</v>
      </c>
      <c r="H132" s="225">
        <v>93.549703145486191</v>
      </c>
      <c r="I132" s="225">
        <v>100.67788708537476</v>
      </c>
      <c r="J132" s="225">
        <v>89.469951313644003</v>
      </c>
      <c r="K132" s="225">
        <v>89.403330007477791</v>
      </c>
      <c r="L132" s="225">
        <v>86.952859747923952</v>
      </c>
      <c r="M132" s="225">
        <v>89.021289130919385</v>
      </c>
      <c r="N132" s="225">
        <v>95.044688067259003</v>
      </c>
      <c r="O132" s="18" t="s">
        <v>26</v>
      </c>
      <c r="P132" s="11"/>
    </row>
    <row r="133" spans="1:16" x14ac:dyDescent="0.3">
      <c r="A133" s="24" t="s">
        <v>102</v>
      </c>
      <c r="B133" s="25" t="s">
        <v>103</v>
      </c>
      <c r="C133" s="163">
        <f>IFERROR((C122+C123+C124+C125+C127+C128+C129+C130+C131)/C132,"")</f>
        <v>1</v>
      </c>
      <c r="D133" s="163">
        <f t="shared" ref="D133:N133" si="8">IFERROR((D122+D123+D124+D125+D127+D128+D129+D130+D131)/D132,"")</f>
        <v>1</v>
      </c>
      <c r="E133" s="163">
        <f t="shared" si="8"/>
        <v>1</v>
      </c>
      <c r="F133" s="163">
        <f t="shared" si="8"/>
        <v>1</v>
      </c>
      <c r="G133" s="163">
        <f t="shared" si="8"/>
        <v>1</v>
      </c>
      <c r="H133" s="163">
        <f t="shared" si="8"/>
        <v>1</v>
      </c>
      <c r="I133" s="163">
        <f t="shared" si="8"/>
        <v>1</v>
      </c>
      <c r="J133" s="163">
        <f t="shared" si="8"/>
        <v>1</v>
      </c>
      <c r="K133" s="163">
        <f t="shared" si="8"/>
        <v>1</v>
      </c>
      <c r="L133" s="163">
        <f t="shared" si="8"/>
        <v>1</v>
      </c>
      <c r="M133" s="163">
        <f t="shared" si="8"/>
        <v>1</v>
      </c>
      <c r="N133" s="163">
        <f t="shared" si="8"/>
        <v>1</v>
      </c>
      <c r="O133" s="11"/>
      <c r="P133" s="11"/>
    </row>
    <row r="134" spans="1:16" x14ac:dyDescent="0.3">
      <c r="A134" s="11"/>
      <c r="B134" s="11"/>
      <c r="C134" s="163">
        <f>IFERROR((C121+C125+C126+C130+C131)/C132,"")</f>
        <v>1</v>
      </c>
      <c r="D134" s="163">
        <f t="shared" ref="D134:N134" si="9">IFERROR((D121+D125+D126+D130+D131)/D132,"")</f>
        <v>1</v>
      </c>
      <c r="E134" s="163">
        <f t="shared" si="9"/>
        <v>1</v>
      </c>
      <c r="F134" s="163">
        <f t="shared" si="9"/>
        <v>1</v>
      </c>
      <c r="G134" s="163">
        <f t="shared" si="9"/>
        <v>1</v>
      </c>
      <c r="H134" s="163">
        <f t="shared" si="9"/>
        <v>1</v>
      </c>
      <c r="I134" s="163">
        <f t="shared" si="9"/>
        <v>1</v>
      </c>
      <c r="J134" s="163">
        <f t="shared" si="9"/>
        <v>1</v>
      </c>
      <c r="K134" s="163">
        <f t="shared" si="9"/>
        <v>1</v>
      </c>
      <c r="L134" s="163">
        <f t="shared" si="9"/>
        <v>1</v>
      </c>
      <c r="M134" s="163">
        <f t="shared" si="9"/>
        <v>1</v>
      </c>
      <c r="N134" s="163">
        <f t="shared" si="9"/>
        <v>1</v>
      </c>
      <c r="O134" s="11"/>
      <c r="P134" s="11"/>
    </row>
    <row r="135" spans="1:16" ht="15.6" x14ac:dyDescent="0.3">
      <c r="A135" s="8" t="s">
        <v>1058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3">
      <c r="A137" s="23" t="s">
        <v>1059</v>
      </c>
      <c r="B137" s="204" t="s">
        <v>88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3">
      <c r="A138" s="23" t="s">
        <v>1060</v>
      </c>
      <c r="B138" s="204" t="s">
        <v>88</v>
      </c>
      <c r="C138" s="231">
        <v>78.947740517817891</v>
      </c>
      <c r="D138" s="231">
        <v>75.322652144836155</v>
      </c>
      <c r="E138" s="231">
        <v>74.955359701920329</v>
      </c>
      <c r="F138" s="231">
        <v>69.981991019394272</v>
      </c>
      <c r="G138" s="231">
        <v>66.168013757523667</v>
      </c>
      <c r="H138" s="231">
        <v>66.340527371739753</v>
      </c>
      <c r="I138" s="231">
        <v>72.369336963790971</v>
      </c>
      <c r="J138" s="231">
        <v>72.992261392949274</v>
      </c>
      <c r="K138" s="231">
        <v>66.554600171969028</v>
      </c>
      <c r="L138" s="231">
        <v>76.485812553740331</v>
      </c>
      <c r="M138" s="231">
        <v>72.878809592051198</v>
      </c>
      <c r="N138" s="231">
        <v>82.848571701538162</v>
      </c>
      <c r="O138" s="18" t="s">
        <v>26</v>
      </c>
      <c r="P138" s="11"/>
    </row>
    <row r="139" spans="1:16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8" x14ac:dyDescent="0.3">
      <c r="A141" s="180" t="s">
        <v>1061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</row>
    <row r="142" spans="1:16" x14ac:dyDescent="0.3">
      <c r="A142" s="11"/>
      <c r="B142" s="11"/>
      <c r="C142" s="17">
        <v>2010</v>
      </c>
      <c r="D142" s="17">
        <v>2011</v>
      </c>
      <c r="E142" s="17">
        <v>2012</v>
      </c>
      <c r="F142" s="17">
        <v>2013</v>
      </c>
      <c r="G142" s="17">
        <v>2014</v>
      </c>
      <c r="H142" s="17">
        <v>2015</v>
      </c>
      <c r="I142" s="17">
        <v>2016</v>
      </c>
      <c r="J142" s="17">
        <v>2017</v>
      </c>
      <c r="K142" s="17">
        <v>2018</v>
      </c>
      <c r="L142" s="17">
        <v>2019</v>
      </c>
      <c r="M142" s="17">
        <v>2020</v>
      </c>
      <c r="N142" s="17">
        <v>2021</v>
      </c>
      <c r="O142" s="11"/>
      <c r="P142" s="11"/>
    </row>
    <row r="143" spans="1:16" x14ac:dyDescent="0.3">
      <c r="A143" s="12" t="s">
        <v>1062</v>
      </c>
      <c r="B143" s="202">
        <v>1</v>
      </c>
      <c r="C143" s="163">
        <f>C155</f>
        <v>0.99998846310295642</v>
      </c>
      <c r="D143" s="163">
        <f t="shared" ref="D143:N143" si="10">D155</f>
        <v>1.0000082744510796</v>
      </c>
      <c r="E143" s="163">
        <f t="shared" si="10"/>
        <v>1.0006015173459657</v>
      </c>
      <c r="F143" s="163">
        <f t="shared" si="10"/>
        <v>1.0000000000000002</v>
      </c>
      <c r="G143" s="163">
        <f t="shared" si="10"/>
        <v>1</v>
      </c>
      <c r="H143" s="163">
        <f t="shared" si="10"/>
        <v>1</v>
      </c>
      <c r="I143" s="163">
        <f t="shared" si="10"/>
        <v>1.0003620709499177</v>
      </c>
      <c r="J143" s="163">
        <f t="shared" si="10"/>
        <v>1.000225728502854</v>
      </c>
      <c r="K143" s="163">
        <f t="shared" si="10"/>
        <v>1.0000000000000002</v>
      </c>
      <c r="L143" s="163">
        <f t="shared" si="10"/>
        <v>1</v>
      </c>
      <c r="M143" s="163">
        <f t="shared" si="10"/>
        <v>0.99999999999999989</v>
      </c>
      <c r="N143" s="163">
        <f t="shared" si="10"/>
        <v>1.0000000000000002</v>
      </c>
      <c r="O143" s="11"/>
      <c r="P143" s="11"/>
    </row>
    <row r="144" spans="1:16" x14ac:dyDescent="0.3">
      <c r="A144" s="12" t="s">
        <v>1063</v>
      </c>
      <c r="B144" s="202">
        <v>1</v>
      </c>
      <c r="C144" s="163">
        <f>C164</f>
        <v>1</v>
      </c>
      <c r="D144" s="163">
        <f t="shared" ref="D144:N144" si="11">D164</f>
        <v>1</v>
      </c>
      <c r="E144" s="163">
        <f t="shared" si="11"/>
        <v>1</v>
      </c>
      <c r="F144" s="163">
        <f t="shared" si="11"/>
        <v>1</v>
      </c>
      <c r="G144" s="163">
        <f t="shared" si="11"/>
        <v>1</v>
      </c>
      <c r="H144" s="163">
        <f t="shared" si="11"/>
        <v>0.99999999999999978</v>
      </c>
      <c r="I144" s="163">
        <f t="shared" si="11"/>
        <v>0.99999999999999978</v>
      </c>
      <c r="J144" s="163">
        <f t="shared" si="11"/>
        <v>1</v>
      </c>
      <c r="K144" s="163">
        <f t="shared" si="11"/>
        <v>1</v>
      </c>
      <c r="L144" s="163">
        <f t="shared" si="11"/>
        <v>1</v>
      </c>
      <c r="M144" s="163">
        <f t="shared" si="11"/>
        <v>1</v>
      </c>
      <c r="N144" s="163">
        <f t="shared" si="11"/>
        <v>1</v>
      </c>
      <c r="O144" s="11"/>
      <c r="P144" s="11"/>
    </row>
    <row r="145" spans="1:16" x14ac:dyDescent="0.3">
      <c r="A145" s="1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</row>
    <row r="146" spans="1:16" ht="15.6" x14ac:dyDescent="0.3">
      <c r="A146" s="8" t="s">
        <v>887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1:16" x14ac:dyDescent="0.3">
      <c r="A147" s="11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6" x14ac:dyDescent="0.3">
      <c r="A148" s="23" t="s">
        <v>148</v>
      </c>
      <c r="B148" s="204" t="s">
        <v>203</v>
      </c>
      <c r="C148" s="226">
        <f>' Macroeconomy (ktoe)'!C108/1000</f>
        <v>1.0268462787809305</v>
      </c>
      <c r="D148" s="226">
        <f>' Macroeconomy (ktoe)'!D108/1000</f>
        <v>0.93524887742428575</v>
      </c>
      <c r="E148" s="226">
        <f>' Macroeconomy (ktoe)'!E108/1000</f>
        <v>0.97083691602178268</v>
      </c>
      <c r="F148" s="226">
        <f>' Macroeconomy (ktoe)'!F108/1000</f>
        <v>0.9337228464635442</v>
      </c>
      <c r="G148" s="226">
        <f>' Macroeconomy (ktoe)'!G108/1000</f>
        <v>0.88814349861469388</v>
      </c>
      <c r="H148" s="226">
        <f>' Macroeconomy (ktoe)'!H108/1000</f>
        <v>0.85700787182564886</v>
      </c>
      <c r="I148" s="226">
        <f>' Macroeconomy (ktoe)'!I108/1000</f>
        <v>0.93056749785038684</v>
      </c>
      <c r="J148" s="226">
        <f>' Macroeconomy (ktoe)'!J108/1000</f>
        <v>0.94248590809209898</v>
      </c>
      <c r="K148" s="226">
        <f>' Macroeconomy (ktoe)'!K108/1000</f>
        <v>0.94112195325172299</v>
      </c>
      <c r="L148" s="226">
        <f>' Macroeconomy (ktoe)'!L108/1000</f>
        <v>0.95130035650848099</v>
      </c>
      <c r="M148" s="226">
        <f>' Macroeconomy (ktoe)'!M108/1000</f>
        <v>0.94473105952039738</v>
      </c>
      <c r="N148" s="226">
        <f>' Macroeconomy (ktoe)'!N108/1000</f>
        <v>0.96520015286137384</v>
      </c>
      <c r="O148" s="202"/>
      <c r="P148" s="202"/>
    </row>
    <row r="149" spans="1:16" x14ac:dyDescent="0.3">
      <c r="A149" s="12" t="s">
        <v>1064</v>
      </c>
      <c r="B149" s="22" t="s">
        <v>203</v>
      </c>
      <c r="C149" s="226">
        <f>C99/1000</f>
        <v>0.53301099356107495</v>
      </c>
      <c r="D149" s="226">
        <f t="shared" ref="D149:N149" si="12">D99/1000</f>
        <v>0.48547942466425065</v>
      </c>
      <c r="E149" s="226">
        <f t="shared" si="12"/>
        <v>0.50327230321940486</v>
      </c>
      <c r="F149" s="226">
        <f t="shared" si="12"/>
        <v>0.48315996376303061</v>
      </c>
      <c r="G149" s="226">
        <f t="shared" si="12"/>
        <v>0.45837475151346713</v>
      </c>
      <c r="H149" s="226">
        <f t="shared" si="12"/>
        <v>0.44805580954066182</v>
      </c>
      <c r="I149" s="226">
        <f t="shared" si="12"/>
        <v>0.48747598098903655</v>
      </c>
      <c r="J149" s="226">
        <f t="shared" si="12"/>
        <v>0.48152342349182586</v>
      </c>
      <c r="K149" s="226">
        <f t="shared" si="12"/>
        <v>0.4769598962473468</v>
      </c>
      <c r="L149" s="226">
        <f t="shared" si="12"/>
        <v>0.49706931713220814</v>
      </c>
      <c r="M149" s="226">
        <f t="shared" si="12"/>
        <v>0.49323767231421489</v>
      </c>
      <c r="N149" s="226">
        <f t="shared" si="12"/>
        <v>0.50227845253320824</v>
      </c>
      <c r="O149" s="202"/>
      <c r="P149" s="202"/>
    </row>
    <row r="150" spans="1:16" x14ac:dyDescent="0.3">
      <c r="A150" s="12" t="s">
        <v>1065</v>
      </c>
      <c r="B150" s="22" t="s">
        <v>203</v>
      </c>
      <c r="C150" s="226">
        <f>C116/1000</f>
        <v>0.29136930306651204</v>
      </c>
      <c r="D150" s="226">
        <f t="shared" ref="D150:N150" si="13">D116/1000</f>
        <v>0.27123213217046566</v>
      </c>
      <c r="E150" s="226">
        <f t="shared" si="13"/>
        <v>0.28277910620715102</v>
      </c>
      <c r="F150" s="226">
        <f t="shared" si="13"/>
        <v>0.27596865062579085</v>
      </c>
      <c r="G150" s="226">
        <f t="shared" si="13"/>
        <v>0.26598446910800017</v>
      </c>
      <c r="H150" s="226">
        <f t="shared" si="13"/>
        <v>0.24906183176776109</v>
      </c>
      <c r="I150" s="226">
        <f t="shared" si="13"/>
        <v>0.26970748330321431</v>
      </c>
      <c r="J150" s="226">
        <f t="shared" si="13"/>
        <v>0.29828757397266858</v>
      </c>
      <c r="K150" s="226">
        <f t="shared" si="13"/>
        <v>0.3082041268249292</v>
      </c>
      <c r="L150" s="226">
        <f t="shared" si="13"/>
        <v>0.29079236707460848</v>
      </c>
      <c r="M150" s="226">
        <f t="shared" si="13"/>
        <v>0.28959328848321192</v>
      </c>
      <c r="N150" s="226">
        <f t="shared" si="13"/>
        <v>0.28502844055936832</v>
      </c>
      <c r="O150" s="202"/>
      <c r="P150" s="202"/>
    </row>
    <row r="151" spans="1:16" x14ac:dyDescent="0.3">
      <c r="A151" s="12" t="s">
        <v>1066</v>
      </c>
      <c r="B151" s="22" t="s">
        <v>203</v>
      </c>
      <c r="C151" s="226">
        <f>C132/1000</f>
        <v>0.12353008839199829</v>
      </c>
      <c r="D151" s="226">
        <f t="shared" ref="D151:N151" si="14">D132/1000</f>
        <v>0.10320692983768262</v>
      </c>
      <c r="E151" s="226">
        <f t="shared" si="14"/>
        <v>0.10924652270828633</v>
      </c>
      <c r="F151" s="226">
        <f t="shared" si="14"/>
        <v>0.10461224105532844</v>
      </c>
      <c r="G151" s="226">
        <f t="shared" si="14"/>
        <v>9.7616264235702868E-2</v>
      </c>
      <c r="H151" s="226">
        <f t="shared" si="14"/>
        <v>9.354970314548619E-2</v>
      </c>
      <c r="I151" s="226">
        <f t="shared" si="14"/>
        <v>0.10067788708537476</v>
      </c>
      <c r="J151" s="226">
        <f t="shared" si="14"/>
        <v>8.9469951313644006E-2</v>
      </c>
      <c r="K151" s="226">
        <f t="shared" si="14"/>
        <v>8.9403330007477785E-2</v>
      </c>
      <c r="L151" s="226">
        <f t="shared" si="14"/>
        <v>8.6952859747923952E-2</v>
      </c>
      <c r="M151" s="226">
        <f t="shared" si="14"/>
        <v>8.902128913091939E-2</v>
      </c>
      <c r="N151" s="226">
        <f t="shared" si="14"/>
        <v>9.5044688067259006E-2</v>
      </c>
      <c r="O151" s="202"/>
      <c r="P151" s="202"/>
    </row>
    <row r="152" spans="1:16" x14ac:dyDescent="0.3">
      <c r="A152" s="12" t="s">
        <v>1067</v>
      </c>
      <c r="B152" s="22" t="s">
        <v>203</v>
      </c>
      <c r="C152" s="226">
        <f>C138/1000</f>
        <v>7.8947740517817888E-2</v>
      </c>
      <c r="D152" s="226">
        <f t="shared" ref="D152:N152" si="15">D138/1000</f>
        <v>7.5322652144836161E-2</v>
      </c>
      <c r="E152" s="226">
        <f t="shared" si="15"/>
        <v>7.4955359701920327E-2</v>
      </c>
      <c r="F152" s="226">
        <f t="shared" si="15"/>
        <v>6.9981991019394271E-2</v>
      </c>
      <c r="G152" s="226">
        <f t="shared" si="15"/>
        <v>6.6168013757523667E-2</v>
      </c>
      <c r="H152" s="226">
        <f t="shared" si="15"/>
        <v>6.634052737173976E-2</v>
      </c>
      <c r="I152" s="226">
        <f t="shared" si="15"/>
        <v>7.236933696379097E-2</v>
      </c>
      <c r="J152" s="226">
        <f t="shared" si="15"/>
        <v>7.2992261392949273E-2</v>
      </c>
      <c r="K152" s="226">
        <f t="shared" si="15"/>
        <v>6.6554600171969028E-2</v>
      </c>
      <c r="L152" s="226">
        <f t="shared" si="15"/>
        <v>7.6485812553740332E-2</v>
      </c>
      <c r="M152" s="226">
        <f t="shared" si="15"/>
        <v>7.2878809592051202E-2</v>
      </c>
      <c r="N152" s="226">
        <f t="shared" si="15"/>
        <v>8.2848571701538157E-2</v>
      </c>
      <c r="O152" s="202"/>
      <c r="P152" s="202"/>
    </row>
    <row r="153" spans="1:16" x14ac:dyDescent="0.3">
      <c r="A153" s="12" t="s">
        <v>1068</v>
      </c>
      <c r="B153" s="22" t="s">
        <v>203</v>
      </c>
      <c r="C153" s="226">
        <v>0</v>
      </c>
      <c r="D153" s="226">
        <v>0</v>
      </c>
      <c r="E153" s="226">
        <v>0</v>
      </c>
      <c r="F153" s="226">
        <v>0</v>
      </c>
      <c r="G153" s="226">
        <v>0</v>
      </c>
      <c r="H153" s="226">
        <v>0</v>
      </c>
      <c r="I153" s="226">
        <v>0</v>
      </c>
      <c r="J153" s="226">
        <v>0</v>
      </c>
      <c r="K153" s="226">
        <v>0</v>
      </c>
      <c r="L153" s="226">
        <v>0</v>
      </c>
      <c r="M153" s="226">
        <v>0</v>
      </c>
      <c r="N153" s="226">
        <v>0</v>
      </c>
      <c r="O153" s="202"/>
      <c r="P153" s="202"/>
    </row>
    <row r="154" spans="1:16" x14ac:dyDescent="0.3">
      <c r="A154" s="47" t="s">
        <v>1069</v>
      </c>
      <c r="B154" s="204" t="s">
        <v>203</v>
      </c>
      <c r="C154" s="226">
        <f>SUM(C149:C153)</f>
        <v>1.0268581255374032</v>
      </c>
      <c r="D154" s="226">
        <f t="shared" ref="D154:N154" si="16">SUM(D149:D153)</f>
        <v>0.93524113881723503</v>
      </c>
      <c r="E154" s="226">
        <f t="shared" si="16"/>
        <v>0.97025329183676257</v>
      </c>
      <c r="F154" s="226">
        <f t="shared" si="16"/>
        <v>0.93372284646354409</v>
      </c>
      <c r="G154" s="226">
        <f t="shared" si="16"/>
        <v>0.88814349861469388</v>
      </c>
      <c r="H154" s="226">
        <f t="shared" si="16"/>
        <v>0.85700787182564886</v>
      </c>
      <c r="I154" s="226">
        <f t="shared" si="16"/>
        <v>0.93023068834141653</v>
      </c>
      <c r="J154" s="226">
        <f t="shared" si="16"/>
        <v>0.94227321017108767</v>
      </c>
      <c r="K154" s="226">
        <f t="shared" si="16"/>
        <v>0.94112195325172288</v>
      </c>
      <c r="L154" s="226">
        <f t="shared" si="16"/>
        <v>0.95130035650848099</v>
      </c>
      <c r="M154" s="226">
        <f t="shared" si="16"/>
        <v>0.94473105952039749</v>
      </c>
      <c r="N154" s="226">
        <f t="shared" si="16"/>
        <v>0.96520015286137373</v>
      </c>
      <c r="O154" s="202"/>
      <c r="P154" s="202"/>
    </row>
    <row r="155" spans="1:16" x14ac:dyDescent="0.3">
      <c r="A155" s="24" t="s">
        <v>1070</v>
      </c>
      <c r="B155" s="22" t="s">
        <v>103</v>
      </c>
      <c r="C155" s="163">
        <f>C148/C154</f>
        <v>0.99998846310295642</v>
      </c>
      <c r="D155" s="163">
        <f t="shared" ref="D155:N155" si="17">D148/D154</f>
        <v>1.0000082744510796</v>
      </c>
      <c r="E155" s="163">
        <f t="shared" si="17"/>
        <v>1.0006015173459657</v>
      </c>
      <c r="F155" s="163">
        <f t="shared" si="17"/>
        <v>1.0000000000000002</v>
      </c>
      <c r="G155" s="163">
        <f t="shared" si="17"/>
        <v>1</v>
      </c>
      <c r="H155" s="163">
        <f t="shared" si="17"/>
        <v>1</v>
      </c>
      <c r="I155" s="163">
        <f t="shared" si="17"/>
        <v>1.0003620709499177</v>
      </c>
      <c r="J155" s="163">
        <f t="shared" si="17"/>
        <v>1.000225728502854</v>
      </c>
      <c r="K155" s="163">
        <f t="shared" si="17"/>
        <v>1.0000000000000002</v>
      </c>
      <c r="L155" s="163">
        <f t="shared" si="17"/>
        <v>1</v>
      </c>
      <c r="M155" s="163">
        <f t="shared" si="17"/>
        <v>0.99999999999999989</v>
      </c>
      <c r="N155" s="163">
        <f t="shared" si="17"/>
        <v>1.0000000000000002</v>
      </c>
      <c r="O155" s="202"/>
      <c r="P155" s="202"/>
    </row>
    <row r="156" spans="1:16" x14ac:dyDescent="0.3">
      <c r="A156" s="24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02"/>
      <c r="P156" s="202"/>
    </row>
    <row r="157" spans="1:16" x14ac:dyDescent="0.3">
      <c r="A157" s="23" t="s">
        <v>1071</v>
      </c>
      <c r="B157" s="204" t="s">
        <v>203</v>
      </c>
      <c r="C157" s="226">
        <f>' Macroeconomy (ktoe)'!C103/1000</f>
        <v>0.17394668959587273</v>
      </c>
      <c r="D157" s="226">
        <f>' Macroeconomy (ktoe)'!D103/1000</f>
        <v>0.16629406706792779</v>
      </c>
      <c r="E157" s="226">
        <f>' Macroeconomy (ktoe)'!E103/1000</f>
        <v>0.16818572656921754</v>
      </c>
      <c r="F157" s="226">
        <f>' Macroeconomy (ktoe)'!F103/1000</f>
        <v>0.16036113499570076</v>
      </c>
      <c r="G157" s="226">
        <f>' Macroeconomy (ktoe)'!G103/1000</f>
        <v>0.14952708512467758</v>
      </c>
      <c r="H157" s="226">
        <f>' Macroeconomy (ktoe)'!H103/1000</f>
        <v>0.14858125537403269</v>
      </c>
      <c r="I157" s="226">
        <f>' Macroeconomy (ktoe)'!I103/1000</f>
        <v>0.16448839208942392</v>
      </c>
      <c r="J157" s="226">
        <f>' Macroeconomy (ktoe)'!J103/1000</f>
        <v>0.16680997420464316</v>
      </c>
      <c r="K157" s="226">
        <f>' Macroeconomy (ktoe)'!K103/1000</f>
        <v>0.15993121238177127</v>
      </c>
      <c r="L157" s="226">
        <f>' Macroeconomy (ktoe)'!L103/1000</f>
        <v>0.17798796216680998</v>
      </c>
      <c r="M157" s="226">
        <f>' Macroeconomy (ktoe)'!M103/1000</f>
        <v>0.17180185344415783</v>
      </c>
      <c r="N157" s="226">
        <f>' Macroeconomy (ktoe)'!N103/1000</f>
        <v>0.19164994745390274</v>
      </c>
      <c r="O157" s="202"/>
      <c r="P157" s="202"/>
    </row>
    <row r="158" spans="1:16" x14ac:dyDescent="0.3">
      <c r="A158" s="12" t="s">
        <v>1072</v>
      </c>
      <c r="B158" s="22" t="s">
        <v>203</v>
      </c>
      <c r="C158" s="226">
        <f>C96/1000</f>
        <v>4.3486672398968182E-2</v>
      </c>
      <c r="D158" s="226">
        <f t="shared" ref="D158:N158" si="18">D96/1000</f>
        <v>4.1906104901117798E-2</v>
      </c>
      <c r="E158" s="226">
        <f t="shared" si="18"/>
        <v>4.3391917454858125E-2</v>
      </c>
      <c r="F158" s="226">
        <f t="shared" si="18"/>
        <v>4.1693895098882196E-2</v>
      </c>
      <c r="G158" s="226">
        <f t="shared" si="18"/>
        <v>3.9026569217540844E-2</v>
      </c>
      <c r="H158" s="226">
        <f t="shared" si="18"/>
        <v>3.8928288907996558E-2</v>
      </c>
      <c r="I158" s="226">
        <f t="shared" si="18"/>
        <v>4.4411865864144459E-2</v>
      </c>
      <c r="J158" s="226">
        <f t="shared" si="18"/>
        <v>4.5372312983662941E-2</v>
      </c>
      <c r="K158" s="226">
        <f t="shared" si="18"/>
        <v>4.4780739466895959E-2</v>
      </c>
      <c r="L158" s="226">
        <f t="shared" si="18"/>
        <v>5.1616509028374891E-2</v>
      </c>
      <c r="M158" s="226">
        <f t="shared" si="18"/>
        <v>5.1540556033247344E-2</v>
      </c>
      <c r="N158" s="226">
        <f t="shared" si="18"/>
        <v>5.9411483710709853E-2</v>
      </c>
      <c r="O158" s="202"/>
      <c r="P158" s="202"/>
    </row>
    <row r="159" spans="1:16" x14ac:dyDescent="0.3">
      <c r="A159" s="12" t="s">
        <v>1073</v>
      </c>
      <c r="B159" s="22" t="s">
        <v>203</v>
      </c>
      <c r="C159" s="226">
        <f>C114/1000</f>
        <v>3.9336008407375556E-2</v>
      </c>
      <c r="D159" s="226">
        <f t="shared" ref="D159:N159" si="19">D114/1000</f>
        <v>3.7258431260150951E-2</v>
      </c>
      <c r="E159" s="226">
        <f t="shared" si="19"/>
        <v>3.7729077099455423E-2</v>
      </c>
      <c r="F159" s="226">
        <f t="shared" si="19"/>
        <v>3.7299608292729533E-2</v>
      </c>
      <c r="G159" s="226">
        <f t="shared" si="19"/>
        <v>3.3417024935511602E-2</v>
      </c>
      <c r="H159" s="226">
        <f t="shared" si="19"/>
        <v>3.231742619661794E-2</v>
      </c>
      <c r="I159" s="226">
        <f t="shared" si="19"/>
        <v>3.5864025031049962E-2</v>
      </c>
      <c r="J159" s="226">
        <f t="shared" si="19"/>
        <v>3.6268271711092002E-2</v>
      </c>
      <c r="K159" s="226">
        <f t="shared" si="19"/>
        <v>3.7080825451418747E-2</v>
      </c>
      <c r="L159" s="226">
        <f t="shared" si="19"/>
        <v>3.7248495270851244E-2</v>
      </c>
      <c r="M159" s="226">
        <f t="shared" si="19"/>
        <v>3.535635807776822E-2</v>
      </c>
      <c r="N159" s="226">
        <f t="shared" si="19"/>
        <v>3.6166045667335431E-2</v>
      </c>
      <c r="O159" s="202"/>
      <c r="P159" s="202"/>
    </row>
    <row r="160" spans="1:16" x14ac:dyDescent="0.3">
      <c r="A160" s="12" t="s">
        <v>1074</v>
      </c>
      <c r="B160" s="22" t="s">
        <v>203</v>
      </c>
      <c r="C160" s="226">
        <f>C130/1000</f>
        <v>1.2176268271711092E-2</v>
      </c>
      <c r="D160" s="226">
        <f t="shared" ref="D160:N160" si="20">D130/1000</f>
        <v>1.1806878761822872E-2</v>
      </c>
      <c r="E160" s="226">
        <f t="shared" si="20"/>
        <v>1.2109372312983662E-2</v>
      </c>
      <c r="F160" s="226">
        <f t="shared" si="20"/>
        <v>1.1385640584694752E-2</v>
      </c>
      <c r="G160" s="226">
        <f t="shared" si="20"/>
        <v>1.0915477214101462E-2</v>
      </c>
      <c r="H160" s="226">
        <f t="shared" si="20"/>
        <v>1.0995012897678418E-2</v>
      </c>
      <c r="I160" s="226">
        <f t="shared" si="20"/>
        <v>1.1843164230438522E-2</v>
      </c>
      <c r="J160" s="226">
        <f t="shared" si="20"/>
        <v>1.217712811693895E-2</v>
      </c>
      <c r="K160" s="226">
        <f t="shared" si="20"/>
        <v>1.1515047291487534E-2</v>
      </c>
      <c r="L160" s="226">
        <f t="shared" si="20"/>
        <v>1.2637145313843507E-2</v>
      </c>
      <c r="M160" s="226">
        <f t="shared" si="20"/>
        <v>1.2026129741091048E-2</v>
      </c>
      <c r="N160" s="226">
        <f t="shared" si="20"/>
        <v>1.3223846374319288E-2</v>
      </c>
      <c r="O160" s="202"/>
      <c r="P160" s="202"/>
    </row>
    <row r="161" spans="1:16" x14ac:dyDescent="0.3">
      <c r="A161" s="12" t="s">
        <v>1075</v>
      </c>
      <c r="B161" s="22" t="s">
        <v>203</v>
      </c>
      <c r="C161" s="226">
        <v>0</v>
      </c>
      <c r="D161" s="226">
        <v>0</v>
      </c>
      <c r="E161" s="226">
        <v>0</v>
      </c>
      <c r="F161" s="226">
        <v>0</v>
      </c>
      <c r="G161" s="226">
        <v>0</v>
      </c>
      <c r="H161" s="226">
        <v>0</v>
      </c>
      <c r="I161" s="226">
        <v>0</v>
      </c>
      <c r="J161" s="226">
        <v>0</v>
      </c>
      <c r="K161" s="226">
        <v>0</v>
      </c>
      <c r="L161" s="226">
        <v>0</v>
      </c>
      <c r="M161" s="226">
        <v>0</v>
      </c>
      <c r="N161" s="226">
        <v>0</v>
      </c>
      <c r="O161" s="202"/>
      <c r="P161" s="202"/>
    </row>
    <row r="162" spans="1:16" x14ac:dyDescent="0.3">
      <c r="A162" s="12" t="s">
        <v>1076</v>
      </c>
      <c r="B162" s="22" t="s">
        <v>203</v>
      </c>
      <c r="C162" s="226">
        <f>C138/1000</f>
        <v>7.8947740517817888E-2</v>
      </c>
      <c r="D162" s="226">
        <f t="shared" ref="D162:N162" si="21">D138/1000</f>
        <v>7.5322652144836161E-2</v>
      </c>
      <c r="E162" s="226">
        <f t="shared" si="21"/>
        <v>7.4955359701920327E-2</v>
      </c>
      <c r="F162" s="226">
        <f t="shared" si="21"/>
        <v>6.9981991019394271E-2</v>
      </c>
      <c r="G162" s="226">
        <f t="shared" si="21"/>
        <v>6.6168013757523667E-2</v>
      </c>
      <c r="H162" s="226">
        <f t="shared" si="21"/>
        <v>6.634052737173976E-2</v>
      </c>
      <c r="I162" s="226">
        <f t="shared" si="21"/>
        <v>7.236933696379097E-2</v>
      </c>
      <c r="J162" s="226">
        <f t="shared" si="21"/>
        <v>7.2992261392949273E-2</v>
      </c>
      <c r="K162" s="226">
        <f t="shared" si="21"/>
        <v>6.6554600171969028E-2</v>
      </c>
      <c r="L162" s="226">
        <f t="shared" si="21"/>
        <v>7.6485812553740332E-2</v>
      </c>
      <c r="M162" s="226">
        <f t="shared" si="21"/>
        <v>7.2878809592051202E-2</v>
      </c>
      <c r="N162" s="226">
        <f t="shared" si="21"/>
        <v>8.2848571701538157E-2</v>
      </c>
      <c r="O162" s="202"/>
      <c r="P162" s="202"/>
    </row>
    <row r="163" spans="1:16" x14ac:dyDescent="0.3">
      <c r="A163" s="228" t="s">
        <v>1077</v>
      </c>
      <c r="B163" s="22" t="s">
        <v>203</v>
      </c>
      <c r="C163" s="226">
        <v>0</v>
      </c>
      <c r="D163" s="226">
        <v>0</v>
      </c>
      <c r="E163" s="226">
        <v>0</v>
      </c>
      <c r="F163" s="226">
        <v>0</v>
      </c>
      <c r="G163" s="226">
        <v>0</v>
      </c>
      <c r="H163" s="226">
        <v>0</v>
      </c>
      <c r="I163" s="226">
        <v>0</v>
      </c>
      <c r="J163" s="226">
        <v>0</v>
      </c>
      <c r="K163" s="226">
        <v>0</v>
      </c>
      <c r="L163" s="226">
        <v>0</v>
      </c>
      <c r="M163" s="226">
        <v>0</v>
      </c>
      <c r="N163" s="226">
        <v>0</v>
      </c>
      <c r="O163" s="202"/>
      <c r="P163" s="202"/>
    </row>
    <row r="164" spans="1:16" x14ac:dyDescent="0.3">
      <c r="A164" s="24" t="s">
        <v>1078</v>
      </c>
      <c r="B164" s="22"/>
      <c r="C164" s="227">
        <f>(C158+C159+C160+C161+C162)/C157</f>
        <v>1</v>
      </c>
      <c r="D164" s="227">
        <f t="shared" ref="D164:N164" si="22">(D158+D159+D160+D161+D162)/D157</f>
        <v>1</v>
      </c>
      <c r="E164" s="227">
        <f t="shared" si="22"/>
        <v>1</v>
      </c>
      <c r="F164" s="227">
        <f t="shared" si="22"/>
        <v>1</v>
      </c>
      <c r="G164" s="227">
        <f t="shared" si="22"/>
        <v>1</v>
      </c>
      <c r="H164" s="227">
        <f t="shared" si="22"/>
        <v>0.99999999999999978</v>
      </c>
      <c r="I164" s="227">
        <f t="shared" si="22"/>
        <v>0.99999999999999978</v>
      </c>
      <c r="J164" s="227">
        <f t="shared" si="22"/>
        <v>1</v>
      </c>
      <c r="K164" s="227">
        <f t="shared" si="22"/>
        <v>1</v>
      </c>
      <c r="L164" s="227">
        <f t="shared" si="22"/>
        <v>1</v>
      </c>
      <c r="M164" s="227">
        <f t="shared" si="22"/>
        <v>1</v>
      </c>
      <c r="N164" s="227">
        <f t="shared" si="22"/>
        <v>1</v>
      </c>
      <c r="O164" s="202"/>
      <c r="P164" s="202"/>
    </row>
    <row r="165" spans="1:16" x14ac:dyDescent="0.3">
      <c r="A165" s="24"/>
      <c r="B165" s="2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</row>
    <row r="166" spans="1:16" x14ac:dyDescent="0.3">
      <c r="A166" s="12" t="s">
        <v>1079</v>
      </c>
      <c r="B166" s="22">
        <v>1</v>
      </c>
      <c r="C166" s="234">
        <f>' Macroeconomy (ktoe)'!C167/' Macroeconomy (ktoe)'!C168</f>
        <v>1.0995981604478282</v>
      </c>
      <c r="D166" s="234">
        <f>' Macroeconomy (ktoe)'!D167/' Macroeconomy (ktoe)'!D168</f>
        <v>0.91887610922116014</v>
      </c>
      <c r="E166" s="234">
        <f>' Macroeconomy (ktoe)'!E167/' Macroeconomy (ktoe)'!E168</f>
        <v>1.030387709919542</v>
      </c>
      <c r="F166" s="234">
        <f>' Macroeconomy (ktoe)'!F167/' Macroeconomy (ktoe)'!F168</f>
        <v>0.93469769785985546</v>
      </c>
      <c r="G166" s="234">
        <f>' Macroeconomy (ktoe)'!G167/' Macroeconomy (ktoe)'!G168</f>
        <v>0.93218901308565971</v>
      </c>
      <c r="H166" s="234">
        <f>' Macroeconomy (ktoe)'!H167/' Macroeconomy (ktoe)'!H168</f>
        <v>0.85397879655128961</v>
      </c>
      <c r="I166" s="234">
        <f>' Macroeconomy (ktoe)'!I167/' Macroeconomy (ktoe)'!I168</f>
        <v>0.94687663120758847</v>
      </c>
      <c r="J166" s="234">
        <f>' Macroeconomy (ktoe)'!J167/' Macroeconomy (ktoe)'!J168</f>
        <v>0.94712862465575876</v>
      </c>
      <c r="K166" s="234">
        <f>' Macroeconomy (ktoe)'!K167/' Macroeconomy (ktoe)'!K168</f>
        <v>0.9145202224742156</v>
      </c>
      <c r="L166" s="234">
        <f>' Macroeconomy (ktoe)'!L167/' Macroeconomy (ktoe)'!L168</f>
        <v>0.87366353474809655</v>
      </c>
      <c r="M166" s="234">
        <f>' Macroeconomy (ktoe)'!M167/' Macroeconomy (ktoe)'!M168</f>
        <v>0.8212286480551505</v>
      </c>
      <c r="N166" s="234">
        <f>' Macroeconomy (ktoe)'!N167/' Macroeconomy (ktoe)'!N168</f>
        <v>0.95960005039868956</v>
      </c>
      <c r="O166" s="202"/>
      <c r="P166" s="202"/>
    </row>
    <row r="167" spans="1:16" x14ac:dyDescent="0.3">
      <c r="A167" s="12" t="s">
        <v>1080</v>
      </c>
      <c r="B167" s="22" t="s">
        <v>103</v>
      </c>
      <c r="C167" s="233">
        <f>IFERROR(C173/(C173/(C148-C149)),"")</f>
        <v>0.49383528521985554</v>
      </c>
      <c r="D167" s="233">
        <f t="shared" ref="D167:N167" si="23">IFERROR(D173/(D173/(D148-D149)),"")</f>
        <v>0.4497694527600351</v>
      </c>
      <c r="E167" s="233">
        <f t="shared" si="23"/>
        <v>0.46756461280237788</v>
      </c>
      <c r="F167" s="233">
        <f t="shared" si="23"/>
        <v>0.45056288270051364</v>
      </c>
      <c r="G167" s="233">
        <f t="shared" si="23"/>
        <v>0.42976874710122676</v>
      </c>
      <c r="H167" s="233">
        <f t="shared" si="23"/>
        <v>0.40895206228498704</v>
      </c>
      <c r="I167" s="233">
        <f t="shared" si="23"/>
        <v>0.44309151686135029</v>
      </c>
      <c r="J167" s="233">
        <f t="shared" si="23"/>
        <v>0.46096248460027311</v>
      </c>
      <c r="K167" s="233">
        <f t="shared" si="23"/>
        <v>0.46416205700437613</v>
      </c>
      <c r="L167" s="233">
        <f t="shared" si="23"/>
        <v>0.45423103937627285</v>
      </c>
      <c r="M167" s="233">
        <f t="shared" si="23"/>
        <v>0.45149338720618248</v>
      </c>
      <c r="N167" s="233">
        <f t="shared" si="23"/>
        <v>0.46292170032816565</v>
      </c>
      <c r="O167" s="202"/>
      <c r="P167" s="202"/>
    </row>
    <row r="168" spans="1:16" x14ac:dyDescent="0.3">
      <c r="A168" s="12" t="s">
        <v>1081</v>
      </c>
      <c r="B168" s="22" t="s">
        <v>103</v>
      </c>
      <c r="C168" s="233">
        <f>C84</f>
        <v>0.25000000000000006</v>
      </c>
      <c r="D168" s="233">
        <f t="shared" ref="D168:N168" si="24">D84</f>
        <v>0.25199999999999995</v>
      </c>
      <c r="E168" s="233">
        <f t="shared" si="24"/>
        <v>0.25799999999999995</v>
      </c>
      <c r="F168" s="233">
        <f t="shared" si="24"/>
        <v>0.26</v>
      </c>
      <c r="G168" s="233">
        <f t="shared" si="24"/>
        <v>0.26100000000000001</v>
      </c>
      <c r="H168" s="233">
        <f t="shared" si="24"/>
        <v>0.26200000000000001</v>
      </c>
      <c r="I168" s="233">
        <f t="shared" si="24"/>
        <v>0.27</v>
      </c>
      <c r="J168" s="233">
        <f t="shared" si="24"/>
        <v>0.27200000000000002</v>
      </c>
      <c r="K168" s="233">
        <f t="shared" si="24"/>
        <v>0.28000000000000003</v>
      </c>
      <c r="L168" s="233">
        <f t="shared" si="24"/>
        <v>0.28999999999999998</v>
      </c>
      <c r="M168" s="233">
        <f t="shared" si="24"/>
        <v>0.3</v>
      </c>
      <c r="N168" s="233">
        <f t="shared" si="24"/>
        <v>0.31000000000000005</v>
      </c>
      <c r="O168" s="202"/>
      <c r="P168" s="202"/>
    </row>
    <row r="169" spans="1:16" x14ac:dyDescent="0.3">
      <c r="A169" s="12" t="s">
        <v>1082</v>
      </c>
      <c r="B169" s="22">
        <v>1</v>
      </c>
      <c r="C169" s="233">
        <v>0</v>
      </c>
      <c r="D169" s="233">
        <v>0</v>
      </c>
      <c r="E169" s="233">
        <v>0</v>
      </c>
      <c r="F169" s="233">
        <v>0</v>
      </c>
      <c r="G169" s="233">
        <v>0</v>
      </c>
      <c r="H169" s="233">
        <v>0</v>
      </c>
      <c r="I169" s="233">
        <v>0</v>
      </c>
      <c r="J169" s="233">
        <v>0</v>
      </c>
      <c r="K169" s="233">
        <v>0</v>
      </c>
      <c r="L169" s="233">
        <v>0</v>
      </c>
      <c r="M169" s="233">
        <v>0</v>
      </c>
      <c r="N169" s="233">
        <v>0</v>
      </c>
      <c r="O169" s="202"/>
      <c r="P169" s="202"/>
    </row>
    <row r="170" spans="1:16" x14ac:dyDescent="0.3">
      <c r="A170" s="11"/>
      <c r="B170" s="2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</row>
    <row r="171" spans="1:16" x14ac:dyDescent="0.3">
      <c r="A171" s="23" t="s">
        <v>1083</v>
      </c>
      <c r="B171" s="204" t="s">
        <v>203</v>
      </c>
      <c r="C171" s="232">
        <f>IFERROR(C148/(1-(C168*0.9)*(1-C166)),"")</f>
        <v>1.0043394474587133</v>
      </c>
      <c r="D171" s="232">
        <f t="shared" ref="D171:N171" si="25">IFERROR(D148/(1-(D148*0.9)*(1-D166)),"")</f>
        <v>1.0037917156567087</v>
      </c>
      <c r="E171" s="232">
        <f t="shared" si="25"/>
        <v>0.94572658933603815</v>
      </c>
      <c r="F171" s="232">
        <f t="shared" si="25"/>
        <v>0.98793773387198236</v>
      </c>
      <c r="G171" s="232">
        <f t="shared" si="25"/>
        <v>0.93904271092905633</v>
      </c>
      <c r="H171" s="232">
        <f t="shared" si="25"/>
        <v>0.96578107976654293</v>
      </c>
      <c r="I171" s="232">
        <f t="shared" si="25"/>
        <v>0.97389755611565576</v>
      </c>
      <c r="J171" s="232">
        <f t="shared" si="25"/>
        <v>0.98673864333232586</v>
      </c>
      <c r="K171" s="232">
        <f t="shared" si="25"/>
        <v>1.0145797661487732</v>
      </c>
      <c r="L171" s="232">
        <f t="shared" si="25"/>
        <v>1.0666781680147006</v>
      </c>
      <c r="M171" s="232">
        <f t="shared" si="25"/>
        <v>1.114071962958481</v>
      </c>
      <c r="N171" s="232">
        <f t="shared" si="25"/>
        <v>1.0003055083424677</v>
      </c>
      <c r="O171" s="202"/>
      <c r="P171" s="202"/>
    </row>
    <row r="172" spans="1:16" x14ac:dyDescent="0.3">
      <c r="A172" s="23" t="s">
        <v>1084</v>
      </c>
      <c r="B172" s="204" t="s">
        <v>203</v>
      </c>
      <c r="C172" s="232">
        <f>C157/(1-(C84*0.9)*(1-C166))</f>
        <v>0.1701340558232303</v>
      </c>
      <c r="D172" s="232">
        <f t="shared" ref="D172:N172" si="26">D157/(1-(D84*0.9)*(1-D166))</f>
        <v>0.16941104365278542</v>
      </c>
      <c r="E172" s="232">
        <f t="shared" si="26"/>
        <v>0.16700731854672574</v>
      </c>
      <c r="F172" s="232">
        <f t="shared" si="26"/>
        <v>0.16284959713708205</v>
      </c>
      <c r="G172" s="232">
        <f t="shared" si="26"/>
        <v>0.15194742539992359</v>
      </c>
      <c r="H172" s="232">
        <f t="shared" si="26"/>
        <v>0.15387960719826285</v>
      </c>
      <c r="I172" s="232">
        <f t="shared" si="26"/>
        <v>0.16663953832635156</v>
      </c>
      <c r="J172" s="232">
        <f t="shared" si="26"/>
        <v>0.16899729139099498</v>
      </c>
      <c r="K172" s="232">
        <f t="shared" si="26"/>
        <v>0.16345211877042193</v>
      </c>
      <c r="L172" s="232">
        <f t="shared" si="26"/>
        <v>0.18405702490280137</v>
      </c>
      <c r="M172" s="232">
        <f t="shared" si="26"/>
        <v>0.18051499926992604</v>
      </c>
      <c r="N172" s="232">
        <f t="shared" si="26"/>
        <v>0.19383477275290825</v>
      </c>
      <c r="O172" s="202"/>
      <c r="P172" s="202"/>
    </row>
    <row r="173" spans="1:16" x14ac:dyDescent="0.3">
      <c r="A173" s="12" t="s">
        <v>1085</v>
      </c>
      <c r="B173" s="22" t="s">
        <v>203</v>
      </c>
      <c r="C173" s="232">
        <f>IFERROR(C149/(1-(0.9*(1-C166))),"")</f>
        <v>0.48916321300447924</v>
      </c>
      <c r="D173" s="232">
        <f t="shared" ref="D173:N173" si="27">IFERROR(D149/(1-(0.9*(1-D166))),"")</f>
        <v>0.52371677270545403</v>
      </c>
      <c r="E173" s="232">
        <f t="shared" si="27"/>
        <v>0.48987474863677039</v>
      </c>
      <c r="F173" s="232">
        <f t="shared" si="27"/>
        <v>0.51332939594320137</v>
      </c>
      <c r="G173" s="232">
        <f t="shared" si="27"/>
        <v>0.48816756333803596</v>
      </c>
      <c r="H173" s="232">
        <f t="shared" si="27"/>
        <v>0.51584809293505018</v>
      </c>
      <c r="I173" s="232">
        <f t="shared" si="27"/>
        <v>0.51195298131681766</v>
      </c>
      <c r="J173" s="232">
        <f t="shared" si="27"/>
        <v>0.50558111552512608</v>
      </c>
      <c r="K173" s="232">
        <f t="shared" si="27"/>
        <v>0.51671143706408662</v>
      </c>
      <c r="L173" s="232">
        <f t="shared" si="27"/>
        <v>0.56083820149140062</v>
      </c>
      <c r="M173" s="232">
        <f t="shared" si="27"/>
        <v>0.58781345827940246</v>
      </c>
      <c r="N173" s="232">
        <f t="shared" si="27"/>
        <v>0.5212303649607879</v>
      </c>
      <c r="O173" s="202"/>
      <c r="P173" s="202"/>
    </row>
    <row r="174" spans="1:16" x14ac:dyDescent="0.3">
      <c r="A174" s="12" t="s">
        <v>1086</v>
      </c>
      <c r="B174" s="22" t="s">
        <v>203</v>
      </c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02"/>
      <c r="P174" s="202"/>
    </row>
    <row r="175" spans="1:16" x14ac:dyDescent="0.3">
      <c r="A175" s="11"/>
      <c r="B175" s="11"/>
      <c r="C175" s="291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 x14ac:dyDescent="0.3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</row>
    <row r="177" spans="1:16" ht="17.399999999999999" x14ac:dyDescent="0.3">
      <c r="A177" s="235" t="s">
        <v>216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</row>
    <row r="178" spans="1:16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x14ac:dyDescent="0.3">
      <c r="A179" s="11"/>
      <c r="B179" s="11"/>
      <c r="C179" s="292">
        <f>C183*41.868/3.6</f>
        <v>149.37359801609782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3">
      <c r="A180" s="12" t="s">
        <v>1087</v>
      </c>
      <c r="B180" s="22" t="s">
        <v>1099</v>
      </c>
      <c r="C180" s="234">
        <f>IFERROR(C171/C12*1000,"")</f>
        <v>1.6175021701003562</v>
      </c>
      <c r="D180" s="234">
        <f t="shared" ref="D180:N180" si="28">IFERROR(D171/D12*1000,"")</f>
        <v>1.6177627816993527</v>
      </c>
      <c r="E180" s="234">
        <f t="shared" si="28"/>
        <v>1.5262329577909091</v>
      </c>
      <c r="F180" s="234">
        <f t="shared" si="28"/>
        <v>1.5733496844693311</v>
      </c>
      <c r="G180" s="234">
        <f t="shared" si="28"/>
        <v>1.4765658290863264</v>
      </c>
      <c r="H180" s="234">
        <f t="shared" si="28"/>
        <v>1.4971191436995022</v>
      </c>
      <c r="I180" s="234">
        <f t="shared" si="28"/>
        <v>1.4896274256647521</v>
      </c>
      <c r="J180" s="234">
        <f t="shared" si="28"/>
        <v>1.4760264286734188</v>
      </c>
      <c r="K180" s="234">
        <f t="shared" si="28"/>
        <v>1.5052276565724989</v>
      </c>
      <c r="L180" s="234">
        <f t="shared" si="28"/>
        <v>1.5594710058694454</v>
      </c>
      <c r="M180" s="234">
        <f t="shared" si="28"/>
        <v>1.6322202958881857</v>
      </c>
      <c r="N180" s="234">
        <f t="shared" si="28"/>
        <v>1.4539134057003145</v>
      </c>
      <c r="O180" s="11"/>
      <c r="P180" s="11"/>
    </row>
    <row r="181" spans="1:16" x14ac:dyDescent="0.3">
      <c r="A181" s="12" t="s">
        <v>1089</v>
      </c>
      <c r="B181" s="22" t="s">
        <v>1100</v>
      </c>
      <c r="C181" s="237">
        <f>IFERROR(C157/C12*1000*11630,"")</f>
        <v>3258.0686722927267</v>
      </c>
      <c r="D181" s="237">
        <f t="shared" ref="D181:N181" si="29">IFERROR(D157/D12*1000*11630,"")</f>
        <v>3116.9346897425135</v>
      </c>
      <c r="E181" s="237">
        <f t="shared" si="29"/>
        <v>3156.6328990865127</v>
      </c>
      <c r="F181" s="237">
        <f t="shared" si="29"/>
        <v>2970.12358262199</v>
      </c>
      <c r="G181" s="237">
        <f t="shared" si="29"/>
        <v>2734.4315087017508</v>
      </c>
      <c r="H181" s="237">
        <f t="shared" si="29"/>
        <v>2678.6835386525668</v>
      </c>
      <c r="I181" s="237">
        <f t="shared" si="29"/>
        <v>2926.0339010012449</v>
      </c>
      <c r="J181" s="237">
        <f t="shared" si="29"/>
        <v>2901.9754024795316</v>
      </c>
      <c r="K181" s="237">
        <f t="shared" si="29"/>
        <v>2759.4907119548348</v>
      </c>
      <c r="L181" s="237">
        <f t="shared" si="29"/>
        <v>3026.3157894736846</v>
      </c>
      <c r="M181" s="237">
        <f t="shared" si="29"/>
        <v>2927.3394704498655</v>
      </c>
      <c r="N181" s="237">
        <f t="shared" si="29"/>
        <v>3239.6217039150488</v>
      </c>
      <c r="O181" s="202"/>
      <c r="P181" s="202"/>
    </row>
    <row r="182" spans="1:16" x14ac:dyDescent="0.3">
      <c r="A182" s="12" t="s">
        <v>1091</v>
      </c>
      <c r="B182" s="22" t="s">
        <v>1099</v>
      </c>
      <c r="C182" s="232">
        <f>IFERROR(C173/C12*1000,"")</f>
        <v>0.78780392482844674</v>
      </c>
      <c r="D182" s="232">
        <f t="shared" ref="D182:N182" si="30">IFERROR(D173/D12*1000,"")</f>
        <v>0.84404910881366313</v>
      </c>
      <c r="E182" s="232">
        <f t="shared" si="30"/>
        <v>0.79056991205448124</v>
      </c>
      <c r="F182" s="232">
        <f t="shared" si="30"/>
        <v>0.81750763782520286</v>
      </c>
      <c r="G182" s="232">
        <f t="shared" si="30"/>
        <v>0.76760251105099664</v>
      </c>
      <c r="H182" s="232">
        <f t="shared" si="30"/>
        <v>0.79964918691576281</v>
      </c>
      <c r="I182" s="232">
        <f t="shared" si="30"/>
        <v>0.78305895402596204</v>
      </c>
      <c r="J182" s="232">
        <f t="shared" si="30"/>
        <v>0.75628039237735978</v>
      </c>
      <c r="K182" s="232">
        <f t="shared" si="30"/>
        <v>0.7665916189995603</v>
      </c>
      <c r="L182" s="232">
        <f t="shared" si="30"/>
        <v>0.81993889106929918</v>
      </c>
      <c r="M182" s="232">
        <f t="shared" si="30"/>
        <v>0.86120204861094785</v>
      </c>
      <c r="N182" s="232">
        <f t="shared" si="30"/>
        <v>0.75759236428707744</v>
      </c>
      <c r="O182" s="202"/>
      <c r="P182" s="202"/>
    </row>
    <row r="183" spans="1:16" x14ac:dyDescent="0.3">
      <c r="A183" s="12" t="s">
        <v>1093</v>
      </c>
      <c r="B183" s="22" t="s">
        <v>1101</v>
      </c>
      <c r="C183" s="234">
        <f t="shared" ref="C183:N183" si="31">IFERROR(C173/(C12*C70)*1000*1000,"")</f>
        <v>12.843817542226812</v>
      </c>
      <c r="D183" s="234">
        <f t="shared" si="31"/>
        <v>13.730451648583372</v>
      </c>
      <c r="E183" s="234">
        <f t="shared" si="31"/>
        <v>12.830912611631824</v>
      </c>
      <c r="F183" s="234">
        <f t="shared" si="31"/>
        <v>13.284121152183667</v>
      </c>
      <c r="G183" s="234">
        <f t="shared" si="31"/>
        <v>12.340876383456534</v>
      </c>
      <c r="H183" s="234">
        <f t="shared" si="31"/>
        <v>12.852808849057011</v>
      </c>
      <c r="I183" s="234">
        <f t="shared" si="31"/>
        <v>12.585828364367336</v>
      </c>
      <c r="J183" s="234">
        <f t="shared" si="31"/>
        <v>12.138904301119602</v>
      </c>
      <c r="K183" s="234">
        <f t="shared" si="31"/>
        <v>12.463010667350545</v>
      </c>
      <c r="L183" s="234">
        <f t="shared" si="31"/>
        <v>13.014903032846018</v>
      </c>
      <c r="M183" s="234">
        <f t="shared" si="31"/>
        <v>13.56223698599918</v>
      </c>
      <c r="N183" s="234">
        <f t="shared" si="31"/>
        <v>11.911829627155306</v>
      </c>
      <c r="O183" s="202"/>
      <c r="P183" s="202"/>
    </row>
    <row r="184" spans="1:16" x14ac:dyDescent="0.3">
      <c r="A184" s="12" t="s">
        <v>1095</v>
      </c>
      <c r="B184" s="22" t="s">
        <v>1101</v>
      </c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11"/>
      <c r="P184" s="11"/>
    </row>
    <row r="185" spans="1:16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</sheetData>
  <conditionalFormatting sqref="O10">
    <cfRule type="expression" dxfId="258" priority="593">
      <formula>AND(COUNT(K8:XEM8)&lt;&gt;0,(O10)="")</formula>
    </cfRule>
  </conditionalFormatting>
  <conditionalFormatting sqref="O10">
    <cfRule type="expression" dxfId="257" priority="595">
      <formula>AND($AK8&lt;&gt;"",ISBLANK($E8:$AG8))</formula>
    </cfRule>
  </conditionalFormatting>
  <conditionalFormatting sqref="O30">
    <cfRule type="expression" dxfId="256" priority="580">
      <formula>AND(COUNT(K31:XEM31)&lt;&gt;0,(O30)="")</formula>
    </cfRule>
  </conditionalFormatting>
  <conditionalFormatting sqref="O30">
    <cfRule type="expression" dxfId="255" priority="596">
      <formula>AND($AK31&lt;&gt;"",ISBLANK($E31:$AG31))</formula>
    </cfRule>
  </conditionalFormatting>
  <conditionalFormatting sqref="O37:O38 O33 O35">
    <cfRule type="expression" dxfId="254" priority="562">
      <formula>AND(COUNT(K34:XEM34)&lt;&gt;0,(O33)="")</formula>
    </cfRule>
  </conditionalFormatting>
  <conditionalFormatting sqref="O37:O38 O33 O35">
    <cfRule type="expression" dxfId="253" priority="563">
      <formula>AND($AK34&lt;&gt;"",ISBLANK($E34:$AG34))</formula>
    </cfRule>
  </conditionalFormatting>
  <conditionalFormatting sqref="O43:O45">
    <cfRule type="expression" dxfId="252" priority="555">
      <formula>AND(COUNT(K44:XEM44)&lt;&gt;0,(O43)="")</formula>
    </cfRule>
  </conditionalFormatting>
  <conditionalFormatting sqref="O43:O45">
    <cfRule type="expression" dxfId="251" priority="556">
      <formula>AND($AK44&lt;&gt;"",ISBLANK($E44:$AG44))</formula>
    </cfRule>
  </conditionalFormatting>
  <conditionalFormatting sqref="O61:O62">
    <cfRule type="expression" dxfId="250" priority="549">
      <formula>AND(COUNT(K60:XEM60)&lt;&gt;0,(O61)="")</formula>
    </cfRule>
  </conditionalFormatting>
  <conditionalFormatting sqref="O61:O62">
    <cfRule type="expression" dxfId="249" priority="597">
      <formula>AND($AK60&lt;&gt;"",ISBLANK($E60:$AG60))</formula>
    </cfRule>
  </conditionalFormatting>
  <conditionalFormatting sqref="O51:O53">
    <cfRule type="expression" dxfId="248" priority="598">
      <formula>AND(COUNT(K51:XEM51)&lt;&gt;0,(O51)="")</formula>
    </cfRule>
  </conditionalFormatting>
  <conditionalFormatting sqref="O51:O52">
    <cfRule type="expression" dxfId="247" priority="599">
      <formula>AND($AK51&lt;&gt;"",ISBLANK($E51:$AG51))</formula>
    </cfRule>
  </conditionalFormatting>
  <conditionalFormatting sqref="O53">
    <cfRule type="expression" dxfId="246" priority="600">
      <formula>AND($AK53&lt;&gt;"",ISBLANK($P53:$AG53))</formula>
    </cfRule>
  </conditionalFormatting>
  <conditionalFormatting sqref="O72:O74 O78">
    <cfRule type="expression" dxfId="245" priority="532">
      <formula>AND(COUNT(K72:XEM72)&lt;&gt;0,(O72)="")</formula>
    </cfRule>
  </conditionalFormatting>
  <conditionalFormatting sqref="O72:O74 O78">
    <cfRule type="expression" dxfId="244" priority="531">
      <formula>AND($AK72&lt;&gt;"",ISBLANK($E72:$AG72))</formula>
    </cfRule>
  </conditionalFormatting>
  <conditionalFormatting sqref="O85:O86">
    <cfRule type="expression" dxfId="243" priority="522">
      <formula>AND(COUNT(K85:XEM85)&lt;&gt;0,(O85)="")</formula>
    </cfRule>
  </conditionalFormatting>
  <conditionalFormatting sqref="O85:O86">
    <cfRule type="expression" dxfId="242" priority="521">
      <formula>AND($AK85&lt;&gt;"",ISBLANK($E85:$AG85))</formula>
    </cfRule>
  </conditionalFormatting>
  <conditionalFormatting sqref="O82">
    <cfRule type="expression" dxfId="241" priority="513">
      <formula>AND(COUNT(K82:XEM82)&lt;&gt;0,(O82)="")</formula>
    </cfRule>
  </conditionalFormatting>
  <conditionalFormatting sqref="O82">
    <cfRule type="expression" dxfId="240" priority="512">
      <formula>AND($AK82&lt;&gt;"",ISBLANK($E82:$AG82))</formula>
    </cfRule>
  </conditionalFormatting>
  <conditionalFormatting sqref="O102:O103">
    <cfRule type="expression" dxfId="239" priority="500">
      <formula>AND(COUNT(K102:XEM102)&lt;&gt;0,(O102)="")</formula>
    </cfRule>
  </conditionalFormatting>
  <conditionalFormatting sqref="O102:O103">
    <cfRule type="expression" dxfId="238" priority="499">
      <formula>AND($AK102&lt;&gt;"",ISBLANK($E102:$AG102))</formula>
    </cfRule>
  </conditionalFormatting>
  <conditionalFormatting sqref="C19:N19">
    <cfRule type="containsBlanks" dxfId="237" priority="215">
      <formula>LEN(TRIM(C19))=0</formula>
    </cfRule>
  </conditionalFormatting>
  <conditionalFormatting sqref="C11:N17">
    <cfRule type="containsBlanks" dxfId="236" priority="217">
      <formula>LEN(TRIM(C11))=0</formula>
    </cfRule>
  </conditionalFormatting>
  <conditionalFormatting sqref="C18:N18">
    <cfRule type="containsBlanks" dxfId="235" priority="216">
      <formula>LEN(TRIM(C18))=0</formula>
    </cfRule>
  </conditionalFormatting>
  <conditionalFormatting sqref="C7">
    <cfRule type="containsBlanks" dxfId="234" priority="250">
      <formula>LEN(TRIM(C7))=0</formula>
    </cfRule>
  </conditionalFormatting>
  <conditionalFormatting sqref="D7:N7">
    <cfRule type="containsBlanks" dxfId="233" priority="249">
      <formula>LEN(TRIM(D7))=0</formula>
    </cfRule>
  </conditionalFormatting>
  <conditionalFormatting sqref="O7">
    <cfRule type="expression" dxfId="232" priority="246">
      <formula>AND(COUNT(K5:XEM5)&lt;&gt;0,(O7)="")</formula>
    </cfRule>
  </conditionalFormatting>
  <conditionalFormatting sqref="O7">
    <cfRule type="expression" dxfId="231" priority="247">
      <formula>AND($AK5&lt;&gt;"",ISBLANK($E5:$AG5))</formula>
    </cfRule>
  </conditionalFormatting>
  <conditionalFormatting sqref="P7">
    <cfRule type="expression" dxfId="230" priority="244">
      <formula>AND(COUNT(L5:XEN5)&lt;&gt;0,(P7)="")</formula>
    </cfRule>
  </conditionalFormatting>
  <conditionalFormatting sqref="P7">
    <cfRule type="expression" dxfId="229" priority="245">
      <formula>AND($AK5&lt;&gt;"",ISBLANK($E5:$AG5))</formula>
    </cfRule>
  </conditionalFormatting>
  <conditionalFormatting sqref="P11:P17">
    <cfRule type="expression" dxfId="228" priority="234">
      <formula>AND(COUNT(L9:XEN9)&lt;&gt;0,(P11)="")</formula>
    </cfRule>
  </conditionalFormatting>
  <conditionalFormatting sqref="P11:P17">
    <cfRule type="expression" dxfId="227" priority="235">
      <formula>AND($AK9&lt;&gt;"",ISBLANK($E9:$AG9))</formula>
    </cfRule>
  </conditionalFormatting>
  <conditionalFormatting sqref="O11">
    <cfRule type="expression" dxfId="226" priority="230">
      <formula>AND(COUNT(K9:XEM9)&lt;&gt;0,(O11)="")</formula>
    </cfRule>
  </conditionalFormatting>
  <conditionalFormatting sqref="O11">
    <cfRule type="expression" dxfId="225" priority="231">
      <formula>AND($AK9&lt;&gt;"",ISBLANK($E9:$AG9))</formula>
    </cfRule>
  </conditionalFormatting>
  <conditionalFormatting sqref="O12:O17">
    <cfRule type="expression" dxfId="224" priority="228">
      <formula>AND(COUNT(K10:XEM10)&lt;&gt;0,(O12)="")</formula>
    </cfRule>
  </conditionalFormatting>
  <conditionalFormatting sqref="O12:O17">
    <cfRule type="expression" dxfId="223" priority="229">
      <formula>AND($AK10&lt;&gt;"",ISBLANK($E10:$AG10))</formula>
    </cfRule>
  </conditionalFormatting>
  <conditionalFormatting sqref="O24:O26 O28:O29">
    <cfRule type="expression" dxfId="222" priority="214">
      <formula>AND(COUNT(K24:XEM24)&lt;&gt;0,(O24)="")</formula>
    </cfRule>
  </conditionalFormatting>
  <conditionalFormatting sqref="O24:O26 O28:O29">
    <cfRule type="expression" dxfId="221" priority="213">
      <formula>AND($AK24&lt;&gt;"",ISBLANK($E24:$AG24))</formula>
    </cfRule>
  </conditionalFormatting>
  <conditionalFormatting sqref="C24:I26 C28:I29">
    <cfRule type="containsBlanks" dxfId="220" priority="211">
      <formula>LEN(TRIM(C24))=0</formula>
    </cfRule>
  </conditionalFormatting>
  <conditionalFormatting sqref="J24:K26 J28:K29">
    <cfRule type="containsBlanks" dxfId="219" priority="210">
      <formula>LEN(TRIM(J24))=0</formula>
    </cfRule>
  </conditionalFormatting>
  <conditionalFormatting sqref="L24:L26 L28:L29">
    <cfRule type="containsBlanks" dxfId="218" priority="209">
      <formula>LEN(TRIM(L24))=0</formula>
    </cfRule>
  </conditionalFormatting>
  <conditionalFormatting sqref="M24:M26 M28:M29">
    <cfRule type="containsBlanks" dxfId="217" priority="207">
      <formula>LEN(TRIM(M24))=0</formula>
    </cfRule>
  </conditionalFormatting>
  <conditionalFormatting sqref="M27">
    <cfRule type="containsBlanks" dxfId="216" priority="206">
      <formula>LEN(TRIM(M27))=0</formula>
    </cfRule>
  </conditionalFormatting>
  <conditionalFormatting sqref="N24:N26 N28:N29">
    <cfRule type="containsBlanks" dxfId="215" priority="205">
      <formula>LEN(TRIM(N24))=0</formula>
    </cfRule>
  </conditionalFormatting>
  <conditionalFormatting sqref="N27">
    <cfRule type="containsBlanks" dxfId="214" priority="204">
      <formula>LEN(TRIM(N27))=0</formula>
    </cfRule>
  </conditionalFormatting>
  <conditionalFormatting sqref="C27:L27">
    <cfRule type="containsBlanks" dxfId="213" priority="203">
      <formula>LEN(TRIM(C27))=0</formula>
    </cfRule>
  </conditionalFormatting>
  <conditionalFormatting sqref="O27">
    <cfRule type="expression" dxfId="212" priority="201">
      <formula>AND(COUNT(K25:XEM25)&lt;&gt;0,(O27)="")</formula>
    </cfRule>
  </conditionalFormatting>
  <conditionalFormatting sqref="O27">
    <cfRule type="expression" dxfId="211" priority="202">
      <formula>AND($AK25&lt;&gt;"",ISBLANK($E25:$AG25))</formula>
    </cfRule>
  </conditionalFormatting>
  <conditionalFormatting sqref="P27">
    <cfRule type="expression" dxfId="210" priority="199">
      <formula>AND(COUNT(L25:XEN25)&lt;&gt;0,(P27)="")</formula>
    </cfRule>
  </conditionalFormatting>
  <conditionalFormatting sqref="P27">
    <cfRule type="expression" dxfId="209" priority="200">
      <formula>AND($AK25&lt;&gt;"",ISBLANK($E25:$AG25))</formula>
    </cfRule>
  </conditionalFormatting>
  <conditionalFormatting sqref="C32:K34 C36:K37">
    <cfRule type="containsBlanks" dxfId="208" priority="190">
      <formula>LEN(TRIM(C32))=0</formula>
    </cfRule>
  </conditionalFormatting>
  <conditionalFormatting sqref="L32:L34 L36:L37">
    <cfRule type="containsBlanks" dxfId="207" priority="189">
      <formula>LEN(TRIM(L32))=0</formula>
    </cfRule>
  </conditionalFormatting>
  <conditionalFormatting sqref="M32:M34 M36:M37">
    <cfRule type="containsBlanks" dxfId="206" priority="187">
      <formula>LEN(TRIM(M32))=0</formula>
    </cfRule>
  </conditionalFormatting>
  <conditionalFormatting sqref="M35">
    <cfRule type="containsBlanks" dxfId="205" priority="185">
      <formula>LEN(TRIM(M35))=0</formula>
    </cfRule>
  </conditionalFormatting>
  <conditionalFormatting sqref="N32:N34 N36:N37">
    <cfRule type="containsBlanks" dxfId="204" priority="184">
      <formula>LEN(TRIM(N32))=0</formula>
    </cfRule>
  </conditionalFormatting>
  <conditionalFormatting sqref="N35">
    <cfRule type="containsBlanks" dxfId="203" priority="183">
      <formula>LEN(TRIM(N35))=0</formula>
    </cfRule>
  </conditionalFormatting>
  <conditionalFormatting sqref="C40:K42 C44:K45">
    <cfRule type="containsBlanks" dxfId="202" priority="182">
      <formula>LEN(TRIM(C40))=0</formula>
    </cfRule>
  </conditionalFormatting>
  <conditionalFormatting sqref="L40:L42 L44:L45">
    <cfRule type="containsBlanks" dxfId="201" priority="181">
      <formula>LEN(TRIM(L40))=0</formula>
    </cfRule>
  </conditionalFormatting>
  <conditionalFormatting sqref="M40:N42 M44:N45">
    <cfRule type="containsBlanks" dxfId="200" priority="179">
      <formula>LEN(TRIM(M40))=0</formula>
    </cfRule>
  </conditionalFormatting>
  <conditionalFormatting sqref="M43:N43">
    <cfRule type="containsBlanks" dxfId="199" priority="178">
      <formula>LEN(TRIM(M43))=0</formula>
    </cfRule>
  </conditionalFormatting>
  <conditionalFormatting sqref="C43:L43">
    <cfRule type="containsBlanks" dxfId="198" priority="177">
      <formula>LEN(TRIM(C43))=0</formula>
    </cfRule>
  </conditionalFormatting>
  <conditionalFormatting sqref="C50:N50">
    <cfRule type="containsBlanks" dxfId="197" priority="176">
      <formula>LEN(TRIM(C50))=0</formula>
    </cfRule>
  </conditionalFormatting>
  <conditionalFormatting sqref="C35:L35">
    <cfRule type="containsBlanks" dxfId="196" priority="174">
      <formula>LEN(TRIM(C35))=0</formula>
    </cfRule>
  </conditionalFormatting>
  <conditionalFormatting sqref="C56:N58">
    <cfRule type="containsBlanks" dxfId="195" priority="166">
      <formula>LEN(TRIM(C56))=0</formula>
    </cfRule>
  </conditionalFormatting>
  <conditionalFormatting sqref="O56">
    <cfRule type="expression" dxfId="194" priority="164">
      <formula>AND(COUNT(K57:XEM57)&lt;&gt;0,(O56)="")</formula>
    </cfRule>
  </conditionalFormatting>
  <conditionalFormatting sqref="O56">
    <cfRule type="expression" dxfId="193" priority="165">
      <formula>AND($AK57&lt;&gt;"",ISBLANK($E57:$AG57))</formula>
    </cfRule>
  </conditionalFormatting>
  <conditionalFormatting sqref="O57">
    <cfRule type="expression" dxfId="192" priority="162">
      <formula>AND(COUNT(K58:XEM58)&lt;&gt;0,(O57)="")</formula>
    </cfRule>
  </conditionalFormatting>
  <conditionalFormatting sqref="O57">
    <cfRule type="expression" dxfId="191" priority="163">
      <formula>AND($AK58&lt;&gt;"",ISBLANK($E58:$AG58))</formula>
    </cfRule>
  </conditionalFormatting>
  <conditionalFormatting sqref="O58">
    <cfRule type="expression" dxfId="190" priority="160">
      <formula>AND(COUNT(K59:XEM59)&lt;&gt;0,(O58)="")</formula>
    </cfRule>
  </conditionalFormatting>
  <conditionalFormatting sqref="O58">
    <cfRule type="expression" dxfId="189" priority="161">
      <formula>AND($AK59&lt;&gt;"",ISBLANK($E59:$AG59))</formula>
    </cfRule>
  </conditionalFormatting>
  <conditionalFormatting sqref="C59:N59">
    <cfRule type="containsBlanks" dxfId="188" priority="159">
      <formula>LEN(TRIM(C59))=0</formula>
    </cfRule>
  </conditionalFormatting>
  <conditionalFormatting sqref="P56:P58">
    <cfRule type="expression" dxfId="187" priority="157">
      <formula>AND(COUNT(L57:XEN57)&lt;&gt;0,(P56)="")</formula>
    </cfRule>
  </conditionalFormatting>
  <conditionalFormatting sqref="P56:P58">
    <cfRule type="expression" dxfId="186" priority="158">
      <formula>AND($AK57&lt;&gt;"",ISBLANK($E57:$AG57))</formula>
    </cfRule>
  </conditionalFormatting>
  <conditionalFormatting sqref="O63:O66">
    <cfRule type="expression" dxfId="185" priority="144">
      <formula>AND(COUNT(K64:XEM64)&lt;&gt;0,(O63)="")</formula>
    </cfRule>
  </conditionalFormatting>
  <conditionalFormatting sqref="O63:O66">
    <cfRule type="expression" dxfId="184" priority="145">
      <formula>AND($AK64&lt;&gt;"",ISBLANK($E64:$AG64))</formula>
    </cfRule>
  </conditionalFormatting>
  <conditionalFormatting sqref="P63:P65">
    <cfRule type="expression" dxfId="183" priority="142">
      <formula>AND(COUNT(L64:XEN64)&lt;&gt;0,(P63)="")</formula>
    </cfRule>
  </conditionalFormatting>
  <conditionalFormatting sqref="P63:P65">
    <cfRule type="expression" dxfId="182" priority="143">
      <formula>AND($AK64&lt;&gt;"",ISBLANK($E64:$AG64))</formula>
    </cfRule>
  </conditionalFormatting>
  <conditionalFormatting sqref="C71:K72">
    <cfRule type="containsBlanks" dxfId="181" priority="141">
      <formula>LEN(TRIM(C71))=0</formula>
    </cfRule>
  </conditionalFormatting>
  <conditionalFormatting sqref="L71:L72">
    <cfRule type="containsBlanks" dxfId="180" priority="139">
      <formula>LEN(TRIM(L71))=0</formula>
    </cfRule>
  </conditionalFormatting>
  <conditionalFormatting sqref="M71:N72">
    <cfRule type="containsBlanks" dxfId="179" priority="133">
      <formula>LEN(TRIM(M71))=0</formula>
    </cfRule>
  </conditionalFormatting>
  <conditionalFormatting sqref="C70:N70">
    <cfRule type="containsBlanks" dxfId="178" priority="128">
      <formula>LEN(TRIM(C70))=0</formula>
    </cfRule>
  </conditionalFormatting>
  <conditionalFormatting sqref="C75:N77">
    <cfRule type="containsBlanks" dxfId="177" priority="127">
      <formula>LEN(TRIM(C75))=0</formula>
    </cfRule>
  </conditionalFormatting>
  <conditionalFormatting sqref="O75">
    <cfRule type="expression" dxfId="176" priority="125">
      <formula>AND(COUNT(K76:XEM76)&lt;&gt;0,(O75)="")</formula>
    </cfRule>
  </conditionalFormatting>
  <conditionalFormatting sqref="O75">
    <cfRule type="expression" dxfId="175" priority="126">
      <formula>AND($AK76&lt;&gt;"",ISBLANK($E76:$AG76))</formula>
    </cfRule>
  </conditionalFormatting>
  <conditionalFormatting sqref="O76">
    <cfRule type="expression" dxfId="174" priority="123">
      <formula>AND(COUNT(K77:XEM77)&lt;&gt;0,(O76)="")</formula>
    </cfRule>
  </conditionalFormatting>
  <conditionalFormatting sqref="O76">
    <cfRule type="expression" dxfId="173" priority="124">
      <formula>AND($AK77&lt;&gt;"",ISBLANK($E77:$AG77))</formula>
    </cfRule>
  </conditionalFormatting>
  <conditionalFormatting sqref="O77">
    <cfRule type="expression" dxfId="172" priority="121">
      <formula>AND(COUNT(K78:XEM78)&lt;&gt;0,(O77)="")</formula>
    </cfRule>
  </conditionalFormatting>
  <conditionalFormatting sqref="O77">
    <cfRule type="expression" dxfId="171" priority="122">
      <formula>AND($AK78&lt;&gt;"",ISBLANK($E78:$AG78))</formula>
    </cfRule>
  </conditionalFormatting>
  <conditionalFormatting sqref="O70">
    <cfRule type="expression" dxfId="170" priority="117">
      <formula>AND(COUNT(K71:XEM71)&lt;&gt;0,(O70)="")</formula>
    </cfRule>
  </conditionalFormatting>
  <conditionalFormatting sqref="O70">
    <cfRule type="expression" dxfId="169" priority="118">
      <formula>AND($AK71&lt;&gt;"",ISBLANK($E71:$AG71))</formula>
    </cfRule>
  </conditionalFormatting>
  <conditionalFormatting sqref="P70">
    <cfRule type="expression" dxfId="168" priority="115">
      <formula>AND(COUNT(L71:XEN71)&lt;&gt;0,(P70)="")</formula>
    </cfRule>
  </conditionalFormatting>
  <conditionalFormatting sqref="P70">
    <cfRule type="expression" dxfId="167" priority="116">
      <formula>AND($AK71&lt;&gt;"",ISBLANK($E71:$AG71))</formula>
    </cfRule>
  </conditionalFormatting>
  <conditionalFormatting sqref="P75:P77">
    <cfRule type="expression" dxfId="166" priority="113">
      <formula>AND(COUNT(L76:XEN76)&lt;&gt;0,(P75)="")</formula>
    </cfRule>
  </conditionalFormatting>
  <conditionalFormatting sqref="P75:P77">
    <cfRule type="expression" dxfId="165" priority="114">
      <formula>AND($AK76&lt;&gt;"",ISBLANK($E76:$AG76))</formula>
    </cfRule>
  </conditionalFormatting>
  <conditionalFormatting sqref="O83:O84">
    <cfRule type="expression" dxfId="164" priority="110">
      <formula>AND(COUNT(K83:XEM83)&lt;&gt;0,(O83)="")</formula>
    </cfRule>
  </conditionalFormatting>
  <conditionalFormatting sqref="O83:O84">
    <cfRule type="expression" dxfId="163" priority="109">
      <formula>AND($AK83&lt;&gt;"",ISBLANK($E83:$AG83))</formula>
    </cfRule>
  </conditionalFormatting>
  <conditionalFormatting sqref="C100:N100">
    <cfRule type="containsBlanks" dxfId="162" priority="93">
      <formula>LEN(TRIM(C100))=0</formula>
    </cfRule>
  </conditionalFormatting>
  <conditionalFormatting sqref="O87:O98">
    <cfRule type="expression" dxfId="161" priority="91">
      <formula>AND(COUNT(K88:XEM88)&lt;&gt;0,(O87)="")</formula>
    </cfRule>
  </conditionalFormatting>
  <conditionalFormatting sqref="O87:O98">
    <cfRule type="expression" dxfId="160" priority="92">
      <formula>AND($AK88&lt;&gt;"",ISBLANK($E88:$AG88))</formula>
    </cfRule>
  </conditionalFormatting>
  <conditionalFormatting sqref="O104:O115">
    <cfRule type="expression" dxfId="159" priority="89">
      <formula>AND(COUNT(K105:XEM105)&lt;&gt;0,(O104)="")</formula>
    </cfRule>
  </conditionalFormatting>
  <conditionalFormatting sqref="O104:O115">
    <cfRule type="expression" dxfId="158" priority="90">
      <formula>AND($AK105&lt;&gt;"",ISBLANK($E105:$AG105))</formula>
    </cfRule>
  </conditionalFormatting>
  <conditionalFormatting sqref="O121:O132">
    <cfRule type="expression" dxfId="157" priority="87">
      <formula>AND(COUNT(K122:XEM122)&lt;&gt;0,(O121)="")</formula>
    </cfRule>
  </conditionalFormatting>
  <conditionalFormatting sqref="O121:O132">
    <cfRule type="expression" dxfId="156" priority="88">
      <formula>AND($AK122&lt;&gt;"",ISBLANK($E122:$AG122))</formula>
    </cfRule>
  </conditionalFormatting>
  <conditionalFormatting sqref="C118:N118">
    <cfRule type="containsBlanks" dxfId="155" priority="67">
      <formula>LEN(TRIM(C118))=0</formula>
    </cfRule>
  </conditionalFormatting>
  <conditionalFormatting sqref="C142:N142">
    <cfRule type="containsBlanks" dxfId="154" priority="54">
      <formula>LEN(TRIM(C142))=0</formula>
    </cfRule>
  </conditionalFormatting>
  <conditionalFormatting sqref="C117:N117">
    <cfRule type="containsBlanks" dxfId="153" priority="69">
      <formula>LEN(TRIM(C117))=0</formula>
    </cfRule>
  </conditionalFormatting>
  <conditionalFormatting sqref="C101:N101">
    <cfRule type="containsBlanks" dxfId="152" priority="68">
      <formula>LEN(TRIM(C101))=0</formula>
    </cfRule>
  </conditionalFormatting>
  <conditionalFormatting sqref="O138">
    <cfRule type="expression" dxfId="151" priority="62">
      <formula>AND(COUNT(K139:XEM139)&lt;&gt;0,(O138)="")</formula>
    </cfRule>
  </conditionalFormatting>
  <conditionalFormatting sqref="O138">
    <cfRule type="expression" dxfId="150" priority="63">
      <formula>AND($AK139&lt;&gt;"",ISBLANK($E139:$AG139))</formula>
    </cfRule>
  </conditionalFormatting>
  <conditionalFormatting sqref="C87:N98">
    <cfRule type="containsBlanks" dxfId="149" priority="42">
      <formula>LEN(TRIM(C87))=0</formula>
    </cfRule>
  </conditionalFormatting>
  <conditionalFormatting sqref="C133:N133">
    <cfRule type="containsBlanks" dxfId="148" priority="44">
      <formula>LEN(TRIM(C133))=0</formula>
    </cfRule>
  </conditionalFormatting>
  <conditionalFormatting sqref="C134:N134">
    <cfRule type="containsBlanks" dxfId="147" priority="43">
      <formula>LEN(TRIM(C134))=0</formula>
    </cfRule>
  </conditionalFormatting>
  <conditionalFormatting sqref="C138:N138">
    <cfRule type="containsBlanks" dxfId="146" priority="36">
      <formula>LEN(TRIM(C138))=0</formula>
    </cfRule>
  </conditionalFormatting>
  <conditionalFormatting sqref="C143:N143">
    <cfRule type="containsBlanks" dxfId="145" priority="26">
      <formula>LEN(TRIM(C143))=0</formula>
    </cfRule>
  </conditionalFormatting>
  <conditionalFormatting sqref="C163:N163">
    <cfRule type="containsBlanks" dxfId="144" priority="19">
      <formula>LEN(TRIM(C163))=0</formula>
    </cfRule>
  </conditionalFormatting>
  <conditionalFormatting sqref="C157:N157">
    <cfRule type="containsBlanks" dxfId="143" priority="25">
      <formula>LEN(TRIM(C157))=0</formula>
    </cfRule>
  </conditionalFormatting>
  <conditionalFormatting sqref="C99:N99">
    <cfRule type="containsBlanks" dxfId="142" priority="41">
      <formula>LEN(TRIM(C99))=0</formula>
    </cfRule>
  </conditionalFormatting>
  <conditionalFormatting sqref="C104:N115">
    <cfRule type="containsBlanks" dxfId="141" priority="40">
      <formula>LEN(TRIM(C104))=0</formula>
    </cfRule>
  </conditionalFormatting>
  <conditionalFormatting sqref="C116:N116">
    <cfRule type="containsBlanks" dxfId="140" priority="39">
      <formula>LEN(TRIM(C116))=0</formula>
    </cfRule>
  </conditionalFormatting>
  <conditionalFormatting sqref="C121:N132">
    <cfRule type="containsBlanks" dxfId="139" priority="37">
      <formula>LEN(TRIM(C121))=0</formula>
    </cfRule>
  </conditionalFormatting>
  <conditionalFormatting sqref="C155:N155 C164:N164">
    <cfRule type="containsBlanks" dxfId="138" priority="28">
      <formula>LEN(TRIM(C155))=0</formula>
    </cfRule>
  </conditionalFormatting>
  <conditionalFormatting sqref="C148:N154">
    <cfRule type="containsBlanks" dxfId="137" priority="27">
      <formula>LEN(TRIM(C148))=0</formula>
    </cfRule>
  </conditionalFormatting>
  <conditionalFormatting sqref="C158:N158">
    <cfRule type="containsBlanks" dxfId="136" priority="24">
      <formula>LEN(TRIM(C158))=0</formula>
    </cfRule>
  </conditionalFormatting>
  <conditionalFormatting sqref="C159:N159">
    <cfRule type="containsBlanks" dxfId="135" priority="23">
      <formula>LEN(TRIM(C159))=0</formula>
    </cfRule>
  </conditionalFormatting>
  <conditionalFormatting sqref="C160:N160">
    <cfRule type="containsBlanks" dxfId="134" priority="22">
      <formula>LEN(TRIM(C160))=0</formula>
    </cfRule>
  </conditionalFormatting>
  <conditionalFormatting sqref="C162:N162">
    <cfRule type="containsBlanks" dxfId="133" priority="21">
      <formula>LEN(TRIM(C162))=0</formula>
    </cfRule>
  </conditionalFormatting>
  <conditionalFormatting sqref="C161:N161">
    <cfRule type="containsBlanks" dxfId="132" priority="20">
      <formula>LEN(TRIM(C161))=0</formula>
    </cfRule>
  </conditionalFormatting>
  <conditionalFormatting sqref="C83:N83">
    <cfRule type="containsBlanks" dxfId="131" priority="15">
      <formula>LEN(TRIM(C83))=0</formula>
    </cfRule>
  </conditionalFormatting>
  <conditionalFormatting sqref="D84:N84">
    <cfRule type="containsBlanks" dxfId="130" priority="11">
      <formula>LEN(TRIM(D84))=0</formula>
    </cfRule>
  </conditionalFormatting>
  <conditionalFormatting sqref="C85:N85">
    <cfRule type="containsBlanks" dxfId="129" priority="14">
      <formula>LEN(TRIM(C85))=0</formula>
    </cfRule>
  </conditionalFormatting>
  <conditionalFormatting sqref="C84">
    <cfRule type="containsBlanks" dxfId="128" priority="12">
      <formula>LEN(TRIM(C84))=0</formula>
    </cfRule>
  </conditionalFormatting>
  <conditionalFormatting sqref="C144:N144">
    <cfRule type="containsBlanks" dxfId="127" priority="8">
      <formula>LEN(TRIM(C144))=0</formula>
    </cfRule>
  </conditionalFormatting>
  <conditionalFormatting sqref="C67:N67">
    <cfRule type="containsBlanks" dxfId="126" priority="7">
      <formula>LEN(TRIM(C67))=0</formula>
    </cfRule>
  </conditionalFormatting>
  <conditionalFormatting sqref="C65:N65">
    <cfRule type="containsBlanks" dxfId="125" priority="5">
      <formula>LEN(TRIM(C65))=0</formula>
    </cfRule>
  </conditionalFormatting>
  <conditionalFormatting sqref="C66:N66">
    <cfRule type="containsBlanks" dxfId="124" priority="4">
      <formula>LEN(TRIM(C66))=0</formula>
    </cfRule>
  </conditionalFormatting>
  <conditionalFormatting sqref="C63:N64">
    <cfRule type="containsBlanks" dxfId="123" priority="3">
      <formula>LEN(TRIM(C63))=0</formula>
    </cfRule>
  </conditionalFormatting>
  <conditionalFormatting sqref="P66">
    <cfRule type="expression" dxfId="122" priority="1">
      <formula>AND(COUNT(L67:XEN67)&lt;&gt;0,(P66)="")</formula>
    </cfRule>
  </conditionalFormatting>
  <conditionalFormatting sqref="P66">
    <cfRule type="expression" dxfId="121" priority="2">
      <formula>AND($AK67&lt;&gt;"",ISBLANK($E67:$AG67))</formula>
    </cfRule>
  </conditionalFormatting>
  <dataValidations count="3">
    <dataValidation type="decimal" operator="greaterThanOrEqual" allowBlank="1" showInputMessage="1" showErrorMessage="1" error="The value must be positive" sqref="C10:N10 C7:L7 F20:N20 D18:N19 D20:E21 C18:C21 C24:N26 C28:N29 C32:N34 C36:N37 C40:N42 C44:N45" xr:uid="{5717BDD0-190B-42A9-8829-0BCCF1B70208}">
      <formula1>0</formula1>
    </dataValidation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7 O10:O17 O33:O39 O43:O44 O50:O58 O24:O30 O60:O66 O70 O138 O102:O115 O72:O78 O121:O132 O82:O99" xr:uid="{628AF956-D611-4E93-B09B-216F7A0F7173}">
      <formula1>AND(LEN(O7)&lt;21,ISERROR(SEARCH("&amp;",O7))=TRUE,ISERROR(SEARCH(" ",O7))=TRUE,ISERROR(SEARCH("/",O7))=TRUE,ISERROR(SEARCH(";",O7))=TRUE,ISERROR(SEARCH("=",O7))=TRUE,ISERROR(SEARCH("'",O7))=TRUE)</formula1>
    </dataValidation>
    <dataValidation type="custom" allowBlank="1" showInputMessage="1" showErrorMessage="1" error="Invalid source name, please refer to the guidelines" sqref="O2:O3" xr:uid="{2CC18CAF-899C-416E-B80F-7773C4E345E4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E9D8-CD2B-4FB4-B340-CC79FED48C73}">
  <sheetPr>
    <tabColor rgb="FF7030A0"/>
  </sheetPr>
  <dimension ref="A2:P87"/>
  <sheetViews>
    <sheetView zoomScale="110" zoomScaleNormal="110" workbookViewId="0">
      <pane xSplit="2" ySplit="2" topLeftCell="C76" activePane="bottomRight" state="frozen"/>
      <selection pane="topRight" activeCell="C1" sqref="C1"/>
      <selection pane="bottomLeft" activeCell="A3" sqref="A3"/>
      <selection pane="bottomRight" activeCell="C29" sqref="C29"/>
    </sheetView>
  </sheetViews>
  <sheetFormatPr defaultRowHeight="14.4" x14ac:dyDescent="0.3"/>
  <cols>
    <col min="1" max="1" width="45.33203125" customWidth="1"/>
    <col min="2" max="2" width="13.88671875" bestFit="1" customWidth="1"/>
    <col min="3" max="3" width="11.109375" bestFit="1" customWidth="1"/>
    <col min="15" max="15" width="16.6640625" customWidth="1"/>
    <col min="16" max="16" width="38" customWidth="1"/>
  </cols>
  <sheetData>
    <row r="2" spans="1:16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" x14ac:dyDescent="0.3">
      <c r="A5" s="2" t="s">
        <v>1102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3">
      <c r="A7" s="12" t="s">
        <v>1103</v>
      </c>
      <c r="B7" s="22" t="s">
        <v>88</v>
      </c>
      <c r="C7" s="17">
        <v>29.2347377472055</v>
      </c>
      <c r="D7" s="17">
        <v>42.419031241043271</v>
      </c>
      <c r="E7" s="17">
        <v>43.422184006878759</v>
      </c>
      <c r="F7" s="17">
        <v>39.409572943536823</v>
      </c>
      <c r="G7" s="17">
        <v>30.285659692366483</v>
      </c>
      <c r="H7" s="17">
        <v>33.247348810547436</v>
      </c>
      <c r="I7" s="17">
        <v>26.2969332186873</v>
      </c>
      <c r="J7" s="17">
        <v>30.046813795738988</v>
      </c>
      <c r="K7" s="17">
        <v>27.371739753511033</v>
      </c>
      <c r="L7" s="17">
        <v>25.604280118467564</v>
      </c>
      <c r="M7" s="17">
        <v>25.317665042514573</v>
      </c>
      <c r="N7" s="17">
        <v>22.427629693321865</v>
      </c>
      <c r="O7" s="18" t="s">
        <v>8</v>
      </c>
      <c r="P7" s="18" t="s">
        <v>108</v>
      </c>
    </row>
    <row r="8" spans="1:16" x14ac:dyDescent="0.3">
      <c r="A8" s="42" t="s">
        <v>126</v>
      </c>
      <c r="B8" s="22" t="s">
        <v>88</v>
      </c>
      <c r="C8" s="17">
        <v>1.0748065348237317</v>
      </c>
      <c r="D8" s="17">
        <v>1.0748065348237317</v>
      </c>
      <c r="E8" s="17">
        <v>1.0986911244864812</v>
      </c>
      <c r="F8" s="17">
        <v>1.0986911244864812</v>
      </c>
      <c r="G8" s="17">
        <v>1.0986911244864812</v>
      </c>
      <c r="H8" s="17">
        <v>1.0986911244864812</v>
      </c>
      <c r="I8" s="17">
        <v>2.1734976593102129</v>
      </c>
      <c r="J8" s="17">
        <v>3.2721887837966941</v>
      </c>
      <c r="K8" s="17">
        <v>1.0986911244864812</v>
      </c>
      <c r="L8" s="17">
        <v>2.1734976593102129</v>
      </c>
      <c r="M8" s="17">
        <v>2.2451514282984619</v>
      </c>
      <c r="N8" s="17">
        <v>1.6241520970669723</v>
      </c>
      <c r="O8" s="18" t="s">
        <v>8</v>
      </c>
      <c r="P8" s="18" t="s">
        <v>108</v>
      </c>
    </row>
    <row r="9" spans="1:16" x14ac:dyDescent="0.3">
      <c r="A9" s="42" t="s">
        <v>138</v>
      </c>
      <c r="B9" s="22" t="s">
        <v>88</v>
      </c>
      <c r="C9" s="17">
        <v>26.273048629024551</v>
      </c>
      <c r="D9" s="17">
        <v>40.41272570937231</v>
      </c>
      <c r="E9" s="17">
        <v>39.40957294353683</v>
      </c>
      <c r="F9" s="17">
        <v>37.379382822203112</v>
      </c>
      <c r="G9" s="17">
        <v>26.273048629024551</v>
      </c>
      <c r="H9" s="17">
        <v>28.279354160695519</v>
      </c>
      <c r="I9" s="17">
        <v>21.209515620521639</v>
      </c>
      <c r="J9" s="17">
        <v>25.26989586318907</v>
      </c>
      <c r="K9" s="17">
        <v>23.239705741855353</v>
      </c>
      <c r="L9" s="17">
        <v>20.206362854686155</v>
      </c>
      <c r="M9" s="17">
        <v>22.236552976019873</v>
      </c>
      <c r="N9" s="17">
        <v>20.206362854686155</v>
      </c>
      <c r="O9" s="18" t="s">
        <v>8</v>
      </c>
      <c r="P9" s="18" t="s">
        <v>108</v>
      </c>
    </row>
    <row r="10" spans="1:16" x14ac:dyDescent="0.3">
      <c r="A10" s="42" t="s">
        <v>139</v>
      </c>
      <c r="B10" s="22" t="s">
        <v>88</v>
      </c>
      <c r="C10" s="17">
        <v>1.8868825833572178</v>
      </c>
      <c r="D10" s="17">
        <v>0.93149899684723414</v>
      </c>
      <c r="E10" s="17">
        <v>2.9139199388554502</v>
      </c>
      <c r="F10" s="17">
        <v>0.93149899684723414</v>
      </c>
      <c r="G10" s="17">
        <v>2.9139199388554502</v>
      </c>
      <c r="H10" s="17">
        <v>3.8693035253654342</v>
      </c>
      <c r="I10" s="17">
        <v>2.9139199388554502</v>
      </c>
      <c r="J10" s="17">
        <v>1.5047291487532244</v>
      </c>
      <c r="K10" s="17">
        <v>3.0333428871691983</v>
      </c>
      <c r="L10" s="17">
        <v>3.224419604471195</v>
      </c>
      <c r="M10" s="17">
        <v>0.83596063819623578</v>
      </c>
      <c r="N10" s="17">
        <v>0.59711474156873978</v>
      </c>
      <c r="O10" s="18" t="s">
        <v>8</v>
      </c>
      <c r="P10" s="18" t="s">
        <v>108</v>
      </c>
    </row>
    <row r="11" spans="1:16" x14ac:dyDescent="0.3">
      <c r="A11" s="12" t="s">
        <v>1104</v>
      </c>
      <c r="B11" s="22" t="s">
        <v>88</v>
      </c>
      <c r="C11" s="17">
        <v>29.736314130123244</v>
      </c>
      <c r="D11" s="17">
        <v>31.002197382248973</v>
      </c>
      <c r="E11" s="17">
        <v>34.871500907614404</v>
      </c>
      <c r="F11" s="17">
        <v>43.32664564822776</v>
      </c>
      <c r="G11" s="17">
        <v>66.829081876373365</v>
      </c>
      <c r="H11" s="17">
        <v>69.981847711856304</v>
      </c>
      <c r="I11" s="17">
        <v>79.320722269991393</v>
      </c>
      <c r="J11" s="17">
        <v>72.991306009362759</v>
      </c>
      <c r="K11" s="17">
        <v>76.215725613833953</v>
      </c>
      <c r="L11" s="17">
        <v>73.397344033629494</v>
      </c>
      <c r="M11" s="17">
        <v>75.236457437661215</v>
      </c>
      <c r="N11" s="17">
        <v>79.583452756281645</v>
      </c>
      <c r="O11" s="18" t="s">
        <v>8</v>
      </c>
      <c r="P11" s="18" t="s">
        <v>108</v>
      </c>
    </row>
    <row r="12" spans="1:16" x14ac:dyDescent="0.3">
      <c r="A12" s="12" t="s">
        <v>1105</v>
      </c>
      <c r="B12" s="22" t="s">
        <v>88</v>
      </c>
      <c r="C12" s="17">
        <v>2.3168051972867105</v>
      </c>
      <c r="D12" s="17">
        <v>1.6719212763924713</v>
      </c>
      <c r="E12" s="17">
        <v>2.0063055316709657</v>
      </c>
      <c r="F12" s="17">
        <v>3.3199579631221936</v>
      </c>
      <c r="G12" s="17">
        <v>2.0063055316709657</v>
      </c>
      <c r="H12" s="17">
        <v>0.71653768988248778</v>
      </c>
      <c r="I12" s="17">
        <v>1.1942294831374796</v>
      </c>
      <c r="J12" s="17">
        <v>0</v>
      </c>
      <c r="K12" s="17">
        <v>1.0509219451609821</v>
      </c>
      <c r="L12" s="17">
        <v>0.95538358650998367</v>
      </c>
      <c r="M12" s="17">
        <v>1.0270373554982324</v>
      </c>
      <c r="N12" s="17">
        <v>1.0031527658354829</v>
      </c>
      <c r="O12" s="18" t="s">
        <v>8</v>
      </c>
      <c r="P12" s="18" t="s">
        <v>108</v>
      </c>
    </row>
    <row r="13" spans="1:16" x14ac:dyDescent="0.3">
      <c r="A13" s="42" t="s">
        <v>114</v>
      </c>
      <c r="B13" s="22" t="s">
        <v>88</v>
      </c>
      <c r="C13" s="17">
        <v>1.9346517626827171</v>
      </c>
      <c r="D13" s="17">
        <v>1.2897678417884779</v>
      </c>
      <c r="E13" s="17">
        <v>1.2897678417884779</v>
      </c>
      <c r="F13" s="17">
        <v>2.6034202732397058</v>
      </c>
      <c r="G13" s="17">
        <v>1.2897678417884779</v>
      </c>
      <c r="H13" s="17">
        <v>0</v>
      </c>
      <c r="I13" s="17">
        <v>0</v>
      </c>
      <c r="J13" s="17">
        <v>0</v>
      </c>
      <c r="K13" s="17">
        <v>1.0509219451609821</v>
      </c>
      <c r="L13" s="17">
        <v>0.95538358650998367</v>
      </c>
      <c r="M13" s="17">
        <v>1.0270373554982324</v>
      </c>
      <c r="N13" s="17">
        <v>1.0031527658354829</v>
      </c>
      <c r="O13" s="18" t="s">
        <v>8</v>
      </c>
      <c r="P13" s="18" t="s">
        <v>108</v>
      </c>
    </row>
    <row r="14" spans="1:16" x14ac:dyDescent="0.3">
      <c r="A14" s="42" t="s">
        <v>313</v>
      </c>
      <c r="B14" s="22" t="s">
        <v>88</v>
      </c>
      <c r="C14" s="17">
        <v>0.38215343460399348</v>
      </c>
      <c r="D14" s="17">
        <v>0.38215343460399348</v>
      </c>
      <c r="E14" s="17">
        <v>0.38215343460399348</v>
      </c>
      <c r="F14" s="17">
        <v>0.38215343460399348</v>
      </c>
      <c r="G14" s="17">
        <v>0.38215343460399348</v>
      </c>
      <c r="H14" s="17">
        <v>0.38215343460399348</v>
      </c>
      <c r="I14" s="17">
        <v>0.38215343460399348</v>
      </c>
      <c r="J14" s="17">
        <v>0.38215343460399348</v>
      </c>
      <c r="K14" s="17">
        <v>0.38215343460399348</v>
      </c>
      <c r="L14" s="17">
        <v>0.38215343460399348</v>
      </c>
      <c r="M14" s="17">
        <v>0.38215343460399348</v>
      </c>
      <c r="N14" s="17">
        <v>0.38215343460399348</v>
      </c>
      <c r="O14" s="18" t="s">
        <v>8</v>
      </c>
      <c r="P14" s="18" t="s">
        <v>108</v>
      </c>
    </row>
    <row r="15" spans="1:16" x14ac:dyDescent="0.3">
      <c r="A15" s="42" t="s">
        <v>142</v>
      </c>
      <c r="B15" s="22" t="s">
        <v>88</v>
      </c>
      <c r="C15" s="17">
        <v>0.38215343460399348</v>
      </c>
      <c r="D15" s="17">
        <v>0.38215343460399348</v>
      </c>
      <c r="E15" s="17">
        <v>0.71653768988248778</v>
      </c>
      <c r="F15" s="17">
        <v>0.71653768988248778</v>
      </c>
      <c r="G15" s="17">
        <v>0.71653768988248778</v>
      </c>
      <c r="H15" s="17">
        <v>0.71653768988248778</v>
      </c>
      <c r="I15" s="17">
        <v>1.1942294831374796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 t="s">
        <v>8</v>
      </c>
      <c r="P15" s="18" t="s">
        <v>108</v>
      </c>
    </row>
    <row r="16" spans="1:16" x14ac:dyDescent="0.3">
      <c r="A16" s="12" t="s">
        <v>1106</v>
      </c>
      <c r="B16" s="22" t="s">
        <v>88</v>
      </c>
      <c r="C16" s="189">
        <v>128.71405369255754</v>
      </c>
      <c r="D16" s="189">
        <v>102.91869685678799</v>
      </c>
      <c r="E16" s="189">
        <v>113.23683959109582</v>
      </c>
      <c r="F16" s="189">
        <v>101.98719785994076</v>
      </c>
      <c r="G16" s="189">
        <v>107.57619184102417</v>
      </c>
      <c r="H16" s="189">
        <v>108.00611445495366</v>
      </c>
      <c r="I16" s="189">
        <v>120.85602369351294</v>
      </c>
      <c r="J16" s="189">
        <v>118.94525652049298</v>
      </c>
      <c r="K16" s="189">
        <v>121.81140728002292</v>
      </c>
      <c r="L16" s="189">
        <v>102.70373554982325</v>
      </c>
      <c r="M16" s="189">
        <v>109.86911244864812</v>
      </c>
      <c r="N16" s="189">
        <v>116.46125919556701</v>
      </c>
      <c r="O16" s="18" t="s">
        <v>8</v>
      </c>
      <c r="P16" s="18" t="s">
        <v>108</v>
      </c>
    </row>
    <row r="17" spans="1:16" x14ac:dyDescent="0.3">
      <c r="A17" s="12" t="s">
        <v>1107</v>
      </c>
      <c r="B17" s="22" t="s">
        <v>88</v>
      </c>
      <c r="C17" s="190">
        <v>215.91669055125632</v>
      </c>
      <c r="D17" s="190">
        <v>204.47597210279926</v>
      </c>
      <c r="E17" s="190">
        <v>218.0663036209038</v>
      </c>
      <c r="F17" s="190">
        <v>217.54084264832329</v>
      </c>
      <c r="G17" s="190">
        <v>240.32674118658639</v>
      </c>
      <c r="H17" s="190">
        <v>241.87923951466513</v>
      </c>
      <c r="I17" s="190">
        <v>255.46957103276964</v>
      </c>
      <c r="J17" s="190">
        <v>233.49574854304001</v>
      </c>
      <c r="K17" s="190">
        <v>252.19738224897296</v>
      </c>
      <c r="L17" s="190">
        <v>251.17034489347472</v>
      </c>
      <c r="M17" s="190">
        <v>244.72150568453233</v>
      </c>
      <c r="N17" s="190">
        <v>279.9751600267507</v>
      </c>
      <c r="O17" s="18" t="s">
        <v>8</v>
      </c>
      <c r="P17" s="18" t="s">
        <v>108</v>
      </c>
    </row>
    <row r="18" spans="1:16" x14ac:dyDescent="0.3">
      <c r="A18" s="12" t="s">
        <v>1108</v>
      </c>
      <c r="B18" s="22" t="s">
        <v>88</v>
      </c>
      <c r="C18" s="88">
        <v>18.319480271328938</v>
      </c>
      <c r="D18" s="88">
        <v>19.680901882105665</v>
      </c>
      <c r="E18" s="88">
        <v>11.918410241712047</v>
      </c>
      <c r="F18" s="88">
        <v>12.32444826597879</v>
      </c>
      <c r="G18" s="88">
        <v>10.604757810260818</v>
      </c>
      <c r="H18" s="88">
        <v>11.560141396770803</v>
      </c>
      <c r="I18" s="88">
        <v>15.071176077194991</v>
      </c>
      <c r="J18" s="88">
        <v>13.232062673163274</v>
      </c>
      <c r="K18" s="88">
        <v>11.67956434508455</v>
      </c>
      <c r="L18" s="88">
        <v>13.494793159453518</v>
      </c>
      <c r="M18" s="88">
        <v>15.357791153147989</v>
      </c>
      <c r="N18" s="88">
        <v>8.5984522785898534</v>
      </c>
      <c r="O18" s="18" t="s">
        <v>8</v>
      </c>
      <c r="P18" s="18" t="s">
        <v>108</v>
      </c>
    </row>
    <row r="19" spans="1:16" x14ac:dyDescent="0.3">
      <c r="A19" s="47" t="s">
        <v>1109</v>
      </c>
      <c r="B19" s="195" t="s">
        <v>88</v>
      </c>
      <c r="C19" s="185">
        <v>424.23808158975822</v>
      </c>
      <c r="D19" s="185">
        <v>402.16872074137768</v>
      </c>
      <c r="E19" s="185">
        <v>423.52154389987578</v>
      </c>
      <c r="F19" s="185">
        <v>417.90866532912963</v>
      </c>
      <c r="G19" s="185">
        <v>457.6287379382822</v>
      </c>
      <c r="H19" s="185">
        <v>465.39122957867579</v>
      </c>
      <c r="I19" s="185">
        <v>498.20865577529372</v>
      </c>
      <c r="J19" s="185">
        <v>468.71118754179798</v>
      </c>
      <c r="K19" s="185">
        <v>490.32674118658639</v>
      </c>
      <c r="L19" s="185">
        <v>467.32588134135852</v>
      </c>
      <c r="M19" s="185">
        <v>471.5295691220025</v>
      </c>
      <c r="N19" s="185">
        <v>508.04910671634656</v>
      </c>
      <c r="O19" s="11"/>
      <c r="P19" s="11"/>
    </row>
    <row r="20" spans="1:16" ht="15.6" x14ac:dyDescent="0.3">
      <c r="A20" s="181" t="s">
        <v>102</v>
      </c>
      <c r="B20" s="99" t="s">
        <v>103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6" x14ac:dyDescent="0.3">
      <c r="A22" s="8" t="s">
        <v>1110</v>
      </c>
      <c r="B22" s="52"/>
      <c r="C22" s="17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3">
      <c r="A23" s="11"/>
      <c r="B23" s="52"/>
      <c r="C23" s="17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6" x14ac:dyDescent="0.3">
      <c r="A24" s="12" t="s">
        <v>1111</v>
      </c>
      <c r="B24" s="191">
        <v>1</v>
      </c>
      <c r="C24" s="163">
        <v>0.63159999999999994</v>
      </c>
      <c r="D24" s="163">
        <v>0.62809999999999999</v>
      </c>
      <c r="E24" s="163">
        <v>0.62460000000000004</v>
      </c>
      <c r="F24" s="163">
        <v>0.62109999999999999</v>
      </c>
      <c r="G24" s="163">
        <v>0.61759999999999993</v>
      </c>
      <c r="H24" s="163">
        <v>0.61409999999999998</v>
      </c>
      <c r="I24" s="163">
        <v>0.61060000000000003</v>
      </c>
      <c r="J24" s="163">
        <v>0.60709999999999997</v>
      </c>
      <c r="K24" s="163">
        <v>0.60360000000000003</v>
      </c>
      <c r="L24" s="163">
        <v>0.60009999999999997</v>
      </c>
      <c r="M24" s="163">
        <v>0.59660000000000002</v>
      </c>
      <c r="N24" s="163">
        <v>0</v>
      </c>
      <c r="O24" s="18" t="s">
        <v>42</v>
      </c>
      <c r="P24" s="175"/>
    </row>
    <row r="25" spans="1:16" ht="15.6" x14ac:dyDescent="0.3">
      <c r="A25" s="12" t="s">
        <v>1112</v>
      </c>
      <c r="B25" s="191">
        <v>1</v>
      </c>
      <c r="C25" s="163">
        <v>0.34359000000000006</v>
      </c>
      <c r="D25" s="163">
        <v>0.34594900000000006</v>
      </c>
      <c r="E25" s="163">
        <v>0.34830800000000006</v>
      </c>
      <c r="F25" s="163">
        <v>0.35066700000000006</v>
      </c>
      <c r="G25" s="163">
        <v>0.35302600000000012</v>
      </c>
      <c r="H25" s="163">
        <v>0.35538500000000006</v>
      </c>
      <c r="I25" s="163">
        <v>0.35774400000000012</v>
      </c>
      <c r="J25" s="163">
        <v>0.36010300000000017</v>
      </c>
      <c r="K25" s="163">
        <v>0.36999999999999994</v>
      </c>
      <c r="L25" s="163">
        <v>0.37</v>
      </c>
      <c r="M25" s="163">
        <v>0.36499999999999999</v>
      </c>
      <c r="N25" s="163">
        <v>0</v>
      </c>
      <c r="O25" s="18" t="s">
        <v>42</v>
      </c>
      <c r="P25" s="175"/>
    </row>
    <row r="26" spans="1:16" ht="15.6" x14ac:dyDescent="0.3">
      <c r="A26" s="12"/>
      <c r="B26" s="6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5"/>
    </row>
    <row r="27" spans="1:16" ht="18" x14ac:dyDescent="0.35">
      <c r="A27" s="48" t="s">
        <v>1113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3">
      <c r="A29" s="333" t="s">
        <v>1114</v>
      </c>
      <c r="B29" s="22" t="s">
        <v>1115</v>
      </c>
      <c r="C29" s="323">
        <v>96.92</v>
      </c>
      <c r="D29" s="324">
        <v>97.48</v>
      </c>
      <c r="E29" s="324">
        <v>98.17</v>
      </c>
      <c r="F29" s="324">
        <v>99.05</v>
      </c>
      <c r="G29" s="324">
        <v>99.81</v>
      </c>
      <c r="H29" s="324">
        <v>100.66</v>
      </c>
      <c r="I29" s="324">
        <v>101.51</v>
      </c>
      <c r="J29" s="324">
        <v>102.44</v>
      </c>
      <c r="K29" s="324">
        <v>103.5</v>
      </c>
      <c r="L29" s="324">
        <v>104.32</v>
      </c>
      <c r="M29" s="324">
        <v>105.24</v>
      </c>
      <c r="N29" s="324">
        <v>105.99</v>
      </c>
      <c r="O29" s="11" t="s">
        <v>51</v>
      </c>
      <c r="P29" s="239"/>
    </row>
    <row r="30" spans="1:16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6" x14ac:dyDescent="0.3">
      <c r="A31" s="8" t="s">
        <v>1116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3">
      <c r="A33" s="12" t="s">
        <v>1117</v>
      </c>
      <c r="B33" s="22" t="s">
        <v>1115</v>
      </c>
      <c r="C33" s="155">
        <v>0.4254</v>
      </c>
      <c r="D33" s="155">
        <v>0.32630000000000003</v>
      </c>
      <c r="E33" s="155">
        <v>0.47360000000000002</v>
      </c>
      <c r="F33" s="155">
        <v>0.60739999999999994</v>
      </c>
      <c r="G33" s="155">
        <v>0.52889999999999993</v>
      </c>
      <c r="H33" s="155">
        <v>0.62679999999999991</v>
      </c>
      <c r="I33" s="155">
        <v>0.66170000000000007</v>
      </c>
      <c r="J33" s="155">
        <v>0.80359999999999998</v>
      </c>
      <c r="K33" s="155">
        <v>1.0709000000000002</v>
      </c>
      <c r="L33" s="155">
        <v>0.67979999999999996</v>
      </c>
      <c r="M33" s="155">
        <v>0.92720000000000002</v>
      </c>
      <c r="N33" s="155">
        <v>0.63825599999999993</v>
      </c>
      <c r="O33" s="18" t="s">
        <v>8</v>
      </c>
      <c r="P33" s="18" t="s">
        <v>1118</v>
      </c>
    </row>
    <row r="34" spans="1:16" ht="15.6" x14ac:dyDescent="0.3">
      <c r="A34" s="12" t="s">
        <v>1119</v>
      </c>
      <c r="B34" s="22" t="s">
        <v>1115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" t="s">
        <v>8</v>
      </c>
      <c r="P34" s="178"/>
    </row>
    <row r="35" spans="1:16" x14ac:dyDescent="0.3">
      <c r="A35" s="12" t="s">
        <v>1120</v>
      </c>
      <c r="B35" s="22" t="s">
        <v>1115</v>
      </c>
      <c r="C35" s="183">
        <v>5.8200000000000002E-2</v>
      </c>
      <c r="D35" s="183">
        <v>1.06E-2</v>
      </c>
      <c r="E35" s="183">
        <v>2.69E-2</v>
      </c>
      <c r="F35" s="183">
        <v>7.6499999999999999E-2</v>
      </c>
      <c r="G35" s="183">
        <v>9.4999999999999998E-3</v>
      </c>
      <c r="H35" s="183">
        <v>6.3799999999999996E-2</v>
      </c>
      <c r="I35" s="183">
        <v>9.7299999999999998E-2</v>
      </c>
      <c r="J35" s="183">
        <v>0.13350000000000001</v>
      </c>
      <c r="K35" s="183">
        <v>0.15440000000000001</v>
      </c>
      <c r="L35" s="183">
        <v>5.9799999999999999E-2</v>
      </c>
      <c r="M35" s="183">
        <v>0.1043</v>
      </c>
      <c r="N35" s="183">
        <v>5.4106000000000001E-2</v>
      </c>
      <c r="O35" s="18" t="s">
        <v>8</v>
      </c>
      <c r="P35" s="18" t="s">
        <v>1118</v>
      </c>
    </row>
    <row r="36" spans="1:16" x14ac:dyDescent="0.3">
      <c r="A36" s="12" t="s">
        <v>1121</v>
      </c>
      <c r="B36" s="22" t="s">
        <v>1115</v>
      </c>
      <c r="C36" s="15">
        <v>6.0000000000000001E-3</v>
      </c>
      <c r="D36" s="15">
        <v>1.2999999999999999E-2</v>
      </c>
      <c r="E36" s="15">
        <v>2.5700000000000001E-2</v>
      </c>
      <c r="F36" s="15">
        <v>1.8699999999999998E-2</v>
      </c>
      <c r="G36" s="15">
        <v>2.8999999999999998E-3</v>
      </c>
      <c r="H36" s="15">
        <v>6.4000000000000003E-3</v>
      </c>
      <c r="I36" s="15">
        <v>1E-4</v>
      </c>
      <c r="J36" s="15">
        <v>2.86E-2</v>
      </c>
      <c r="K36" s="15">
        <v>2.7699999999999999E-2</v>
      </c>
      <c r="L36" s="15">
        <v>1.54E-2</v>
      </c>
      <c r="M36" s="15">
        <v>2.7899999999999998E-2</v>
      </c>
      <c r="N36" s="15">
        <v>3.7728999999999999E-2</v>
      </c>
      <c r="O36" s="18" t="s">
        <v>8</v>
      </c>
      <c r="P36" s="18" t="s">
        <v>1118</v>
      </c>
    </row>
    <row r="37" spans="1:16" x14ac:dyDescent="0.3">
      <c r="A37" s="12" t="s">
        <v>1122</v>
      </c>
      <c r="B37" s="22" t="s">
        <v>1115</v>
      </c>
      <c r="C37" s="155">
        <v>0.11</v>
      </c>
      <c r="D37" s="155">
        <v>3.6999999999999998E-2</v>
      </c>
      <c r="E37" s="155">
        <v>7.0499999999999993E-2</v>
      </c>
      <c r="F37" s="155">
        <v>5.2299999999999999E-2</v>
      </c>
      <c r="G37" s="155">
        <v>4.8100000000000004E-2</v>
      </c>
      <c r="H37" s="155">
        <v>4.4999999999999998E-2</v>
      </c>
      <c r="I37" s="155">
        <v>0.12529999999999999</v>
      </c>
      <c r="J37" s="155">
        <v>7.6599999999999988E-2</v>
      </c>
      <c r="K37" s="155">
        <v>0.1714</v>
      </c>
      <c r="L37" s="155">
        <v>8.8400000000000006E-2</v>
      </c>
      <c r="M37" s="155">
        <v>0.2137</v>
      </c>
      <c r="N37" s="15">
        <v>5.9913000000000001E-2</v>
      </c>
      <c r="O37" s="18" t="s">
        <v>8</v>
      </c>
      <c r="P37" s="18" t="s">
        <v>1118</v>
      </c>
    </row>
    <row r="38" spans="1:16" x14ac:dyDescent="0.3">
      <c r="A38" s="12" t="s">
        <v>1123</v>
      </c>
      <c r="B38" s="22" t="s">
        <v>1115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4">
        <v>9.9480000000000002E-3</v>
      </c>
      <c r="O38" s="18" t="s">
        <v>8</v>
      </c>
      <c r="P38" s="18" t="s">
        <v>1118</v>
      </c>
    </row>
    <row r="39" spans="1:16" x14ac:dyDescent="0.3">
      <c r="A39" s="12" t="s">
        <v>1124</v>
      </c>
      <c r="B39" s="22" t="s">
        <v>1115</v>
      </c>
      <c r="C39" s="183">
        <v>3.3700000000000001E-2</v>
      </c>
      <c r="D39" s="183">
        <v>1.9600000000000003E-2</v>
      </c>
      <c r="E39" s="183">
        <v>2.9100000000000001E-2</v>
      </c>
      <c r="F39" s="183">
        <v>2.3899999999999998E-2</v>
      </c>
      <c r="G39" s="183">
        <v>2.4199999999999999E-2</v>
      </c>
      <c r="H39" s="183">
        <v>2.93E-2</v>
      </c>
      <c r="I39" s="183">
        <v>1.66E-2</v>
      </c>
      <c r="J39" s="183">
        <v>9.1999999999999998E-3</v>
      </c>
      <c r="K39" s="183">
        <v>2.0199999999999999E-2</v>
      </c>
      <c r="L39" s="183">
        <v>5.5799999999999995E-2</v>
      </c>
      <c r="M39" s="183">
        <v>6.8500000000000005E-2</v>
      </c>
      <c r="N39" s="15">
        <v>2.7723000000000001E-2</v>
      </c>
      <c r="O39" s="18" t="s">
        <v>8</v>
      </c>
      <c r="P39" s="18" t="s">
        <v>1118</v>
      </c>
    </row>
    <row r="40" spans="1:16" x14ac:dyDescent="0.3">
      <c r="A40" s="12" t="s">
        <v>1125</v>
      </c>
      <c r="B40" s="22" t="s">
        <v>1115</v>
      </c>
      <c r="C40" s="15">
        <v>0.21749999999999997</v>
      </c>
      <c r="D40" s="15">
        <v>0.24609999999999999</v>
      </c>
      <c r="E40" s="15">
        <v>0.32140000000000002</v>
      </c>
      <c r="F40" s="15">
        <v>0.43600000000000005</v>
      </c>
      <c r="G40" s="15">
        <v>0.44419999999999998</v>
      </c>
      <c r="H40" s="15">
        <v>0.48230000000000001</v>
      </c>
      <c r="I40" s="15">
        <v>0.4224</v>
      </c>
      <c r="J40" s="15">
        <v>0.55569999999999997</v>
      </c>
      <c r="K40" s="15">
        <v>0.69720000000000004</v>
      </c>
      <c r="L40" s="15">
        <v>0.46040000000000003</v>
      </c>
      <c r="M40" s="15">
        <v>0.51290000000000002</v>
      </c>
      <c r="N40" s="15">
        <v>0.44883699999999999</v>
      </c>
      <c r="O40" s="18" t="s">
        <v>8</v>
      </c>
      <c r="P40" s="18" t="s">
        <v>1118</v>
      </c>
    </row>
    <row r="41" spans="1:16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.6" x14ac:dyDescent="0.3">
      <c r="A42" s="8" t="s">
        <v>1126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3">
      <c r="A44" s="164" t="s">
        <v>1126</v>
      </c>
      <c r="B44" s="22" t="s">
        <v>84</v>
      </c>
      <c r="C44" s="17">
        <v>367.6</v>
      </c>
      <c r="D44" s="17">
        <v>377.9</v>
      </c>
      <c r="E44" s="17">
        <v>389.80000000000007</v>
      </c>
      <c r="F44" s="17">
        <v>401.3</v>
      </c>
      <c r="G44" s="17">
        <v>410.5</v>
      </c>
      <c r="H44" s="17">
        <v>415.5</v>
      </c>
      <c r="I44" s="17">
        <v>424.6</v>
      </c>
      <c r="J44" s="17">
        <v>432.3</v>
      </c>
      <c r="K44" s="17">
        <v>440.30000000000007</v>
      </c>
      <c r="L44" s="17">
        <v>453.80000000000007</v>
      </c>
      <c r="M44" s="17">
        <v>441.3</v>
      </c>
      <c r="N44" s="17">
        <v>441.6</v>
      </c>
      <c r="O44" s="18" t="s">
        <v>8</v>
      </c>
      <c r="P44" s="18" t="s">
        <v>1127</v>
      </c>
    </row>
    <row r="45" spans="1:16" x14ac:dyDescent="0.3">
      <c r="A45" s="12" t="s">
        <v>1128</v>
      </c>
      <c r="B45" s="22" t="s">
        <v>84</v>
      </c>
      <c r="C45" s="17">
        <v>142.4</v>
      </c>
      <c r="D45" s="17">
        <v>151.9</v>
      </c>
      <c r="E45" s="17">
        <v>158.60000000000002</v>
      </c>
      <c r="F45" s="17">
        <v>163.1</v>
      </c>
      <c r="G45" s="17">
        <v>169.5</v>
      </c>
      <c r="H45" s="17">
        <v>164.6</v>
      </c>
      <c r="I45" s="17">
        <v>172</v>
      </c>
      <c r="J45" s="17">
        <v>180.5</v>
      </c>
      <c r="K45" s="17">
        <v>180.3</v>
      </c>
      <c r="L45" s="17">
        <v>187.3</v>
      </c>
      <c r="M45" s="17">
        <v>182.8</v>
      </c>
      <c r="N45" s="17">
        <v>185.2</v>
      </c>
      <c r="O45" s="18" t="s">
        <v>8</v>
      </c>
      <c r="P45" s="18" t="s">
        <v>1127</v>
      </c>
    </row>
    <row r="46" spans="1:16" x14ac:dyDescent="0.3">
      <c r="A46" s="12" t="s">
        <v>1129</v>
      </c>
      <c r="B46" s="22" t="s">
        <v>84</v>
      </c>
      <c r="C46" s="17">
        <v>40.299999999999997</v>
      </c>
      <c r="D46" s="17">
        <v>39.299999999999997</v>
      </c>
      <c r="E46" s="17">
        <v>40.1</v>
      </c>
      <c r="F46" s="17">
        <v>43</v>
      </c>
      <c r="G46" s="17">
        <v>45.1</v>
      </c>
      <c r="H46" s="17">
        <v>42.4</v>
      </c>
      <c r="I46" s="17">
        <v>39.700000000000003</v>
      </c>
      <c r="J46" s="17">
        <v>38.700000000000003</v>
      </c>
      <c r="K46" s="17">
        <v>38</v>
      </c>
      <c r="L46" s="17">
        <v>40.700000000000003</v>
      </c>
      <c r="M46" s="17">
        <v>44</v>
      </c>
      <c r="N46" s="17">
        <v>43.1</v>
      </c>
      <c r="O46" s="18" t="s">
        <v>8</v>
      </c>
      <c r="P46" s="18" t="s">
        <v>1127</v>
      </c>
    </row>
    <row r="47" spans="1:16" x14ac:dyDescent="0.3">
      <c r="A47" s="12" t="s">
        <v>1130</v>
      </c>
      <c r="B47" s="22" t="s">
        <v>84</v>
      </c>
      <c r="C47" s="17">
        <v>102.10000000000001</v>
      </c>
      <c r="D47" s="17">
        <v>112.60000000000001</v>
      </c>
      <c r="E47" s="17">
        <v>118.50000000000001</v>
      </c>
      <c r="F47" s="17">
        <v>120.1</v>
      </c>
      <c r="G47" s="17">
        <v>124.4</v>
      </c>
      <c r="H47" s="17">
        <v>122.2</v>
      </c>
      <c r="I47" s="17">
        <v>132.30000000000001</v>
      </c>
      <c r="J47" s="17">
        <v>141.80000000000001</v>
      </c>
      <c r="K47" s="17">
        <v>142.30000000000001</v>
      </c>
      <c r="L47" s="17">
        <v>146.6</v>
      </c>
      <c r="M47" s="17">
        <v>138.80000000000001</v>
      </c>
      <c r="N47" s="17">
        <v>142.1</v>
      </c>
      <c r="O47" s="18" t="s">
        <v>8</v>
      </c>
      <c r="P47" s="18" t="s">
        <v>1127</v>
      </c>
    </row>
    <row r="48" spans="1:16" x14ac:dyDescent="0.3">
      <c r="A48" s="12" t="s">
        <v>1131</v>
      </c>
      <c r="B48" s="22" t="s">
        <v>84</v>
      </c>
      <c r="C48" s="17">
        <v>34.200000000000003</v>
      </c>
      <c r="D48" s="17">
        <v>34.6</v>
      </c>
      <c r="E48" s="17">
        <v>34.5</v>
      </c>
      <c r="F48" s="17">
        <v>36.4</v>
      </c>
      <c r="G48" s="17">
        <v>38.6</v>
      </c>
      <c r="H48" s="17">
        <v>39.1</v>
      </c>
      <c r="I48" s="17">
        <v>39.4</v>
      </c>
      <c r="J48" s="17">
        <v>37.799999999999997</v>
      </c>
      <c r="K48" s="17">
        <v>40.5</v>
      </c>
      <c r="L48" s="17">
        <v>42.5</v>
      </c>
      <c r="M48" s="17">
        <v>39.6</v>
      </c>
      <c r="N48" s="17">
        <v>40.200000000000003</v>
      </c>
      <c r="O48" s="18" t="s">
        <v>8</v>
      </c>
      <c r="P48" s="18" t="s">
        <v>1127</v>
      </c>
    </row>
    <row r="49" spans="1:16" x14ac:dyDescent="0.3">
      <c r="A49" s="12" t="s">
        <v>1132</v>
      </c>
      <c r="B49" s="22" t="s">
        <v>84</v>
      </c>
      <c r="C49" s="17">
        <v>90.1</v>
      </c>
      <c r="D49" s="17">
        <v>91.8</v>
      </c>
      <c r="E49" s="17">
        <v>89.8</v>
      </c>
      <c r="F49" s="17">
        <v>92.8</v>
      </c>
      <c r="G49" s="17">
        <v>92.7</v>
      </c>
      <c r="H49" s="17">
        <v>94.2</v>
      </c>
      <c r="I49" s="17">
        <v>95.5</v>
      </c>
      <c r="J49" s="17">
        <v>97.8</v>
      </c>
      <c r="K49" s="17">
        <v>96</v>
      </c>
      <c r="L49" s="17">
        <v>97.8</v>
      </c>
      <c r="M49" s="17">
        <v>93.300000000000011</v>
      </c>
      <c r="N49" s="17">
        <v>93.100000000000009</v>
      </c>
      <c r="O49" s="18" t="s">
        <v>8</v>
      </c>
      <c r="P49" s="18" t="s">
        <v>1127</v>
      </c>
    </row>
    <row r="50" spans="1:16" x14ac:dyDescent="0.3">
      <c r="A50" s="12" t="s">
        <v>1133</v>
      </c>
      <c r="B50" s="22" t="s">
        <v>84</v>
      </c>
      <c r="C50" s="17">
        <v>18.899999999999999</v>
      </c>
      <c r="D50" s="17">
        <v>18.399999999999999</v>
      </c>
      <c r="E50" s="17">
        <v>18.8</v>
      </c>
      <c r="F50" s="17">
        <v>23.4</v>
      </c>
      <c r="G50" s="17">
        <v>25.8</v>
      </c>
      <c r="H50" s="17">
        <v>26.1</v>
      </c>
      <c r="I50" s="17">
        <v>26.5</v>
      </c>
      <c r="J50" s="17">
        <v>25.5</v>
      </c>
      <c r="K50" s="17">
        <v>28.6</v>
      </c>
      <c r="L50" s="17">
        <v>29.5</v>
      </c>
      <c r="M50" s="17">
        <v>23.8</v>
      </c>
      <c r="N50" s="17">
        <v>21.6</v>
      </c>
      <c r="O50" s="18" t="s">
        <v>8</v>
      </c>
      <c r="P50" s="18" t="s">
        <v>1127</v>
      </c>
    </row>
    <row r="51" spans="1:16" x14ac:dyDescent="0.3">
      <c r="A51" s="12" t="s">
        <v>1134</v>
      </c>
      <c r="B51" s="22" t="s">
        <v>84</v>
      </c>
      <c r="C51" s="17">
        <v>55.7</v>
      </c>
      <c r="D51" s="17">
        <v>56.5</v>
      </c>
      <c r="E51" s="17">
        <v>61.8</v>
      </c>
      <c r="F51" s="17">
        <v>56.1</v>
      </c>
      <c r="G51" s="17">
        <v>55</v>
      </c>
      <c r="H51" s="17">
        <v>60.6</v>
      </c>
      <c r="I51" s="17">
        <v>57.6</v>
      </c>
      <c r="J51" s="17">
        <v>56.8</v>
      </c>
      <c r="K51" s="17">
        <v>61.1</v>
      </c>
      <c r="L51" s="17">
        <v>61.6</v>
      </c>
      <c r="M51" s="17">
        <v>64.099999999999994</v>
      </c>
      <c r="N51" s="17">
        <v>63.9</v>
      </c>
      <c r="O51" s="18" t="s">
        <v>8</v>
      </c>
      <c r="P51" s="18" t="s">
        <v>1127</v>
      </c>
    </row>
    <row r="52" spans="1:16" x14ac:dyDescent="0.3">
      <c r="A52" s="12" t="s">
        <v>1135</v>
      </c>
      <c r="B52" s="22" t="s">
        <v>84</v>
      </c>
      <c r="C52" s="17">
        <v>26.299999999999997</v>
      </c>
      <c r="D52" s="17">
        <v>24.7</v>
      </c>
      <c r="E52" s="17">
        <v>26.3</v>
      </c>
      <c r="F52" s="17">
        <v>29.5</v>
      </c>
      <c r="G52" s="17">
        <v>28.900000000000002</v>
      </c>
      <c r="H52" s="17">
        <v>30.9</v>
      </c>
      <c r="I52" s="17">
        <v>33.6</v>
      </c>
      <c r="J52" s="17">
        <v>33.9</v>
      </c>
      <c r="K52" s="17">
        <v>33.799999999999997</v>
      </c>
      <c r="L52" s="17">
        <v>35.1</v>
      </c>
      <c r="M52" s="17">
        <v>37.700000000000003</v>
      </c>
      <c r="N52" s="17">
        <v>37.599999999999994</v>
      </c>
      <c r="O52" s="18" t="s">
        <v>8</v>
      </c>
      <c r="P52" s="18" t="s">
        <v>1127</v>
      </c>
    </row>
    <row r="53" spans="1:16" x14ac:dyDescent="0.3">
      <c r="A53" s="24" t="s">
        <v>102</v>
      </c>
      <c r="B53" s="22" t="s">
        <v>103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82"/>
    </row>
    <row r="54" spans="1:16" x14ac:dyDescent="0.3">
      <c r="A54" s="24"/>
      <c r="B54" s="20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82"/>
    </row>
    <row r="55" spans="1:16" x14ac:dyDescent="0.3">
      <c r="A55" s="12" t="s">
        <v>1136</v>
      </c>
      <c r="B55" s="22" t="s">
        <v>84</v>
      </c>
      <c r="C55" s="17">
        <v>23.9</v>
      </c>
      <c r="D55" s="17">
        <v>26.6</v>
      </c>
      <c r="E55" s="17">
        <v>27.6</v>
      </c>
      <c r="F55" s="17">
        <v>26.5</v>
      </c>
      <c r="G55" s="17">
        <v>24.1</v>
      </c>
      <c r="H55" s="17">
        <v>25</v>
      </c>
      <c r="I55" s="17">
        <v>25</v>
      </c>
      <c r="J55" s="17">
        <v>23.1</v>
      </c>
      <c r="K55" s="17">
        <v>22</v>
      </c>
      <c r="L55" s="17">
        <v>21.3</v>
      </c>
      <c r="M55" s="17">
        <v>20</v>
      </c>
      <c r="N55" s="17">
        <v>17.600000000000001</v>
      </c>
      <c r="O55" s="18" t="s">
        <v>8</v>
      </c>
      <c r="P55" s="182" t="s">
        <v>1137</v>
      </c>
    </row>
    <row r="56" spans="1:16" x14ac:dyDescent="0.3">
      <c r="A56" s="11"/>
      <c r="B56" s="20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8" x14ac:dyDescent="0.35">
      <c r="A58" s="48" t="s">
        <v>1138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x14ac:dyDescent="0.3">
      <c r="A59" s="12" t="s">
        <v>1139</v>
      </c>
      <c r="B59" s="22" t="s">
        <v>66</v>
      </c>
      <c r="C59" s="17">
        <v>7372.0000000000009</v>
      </c>
      <c r="D59" s="17">
        <v>7533.7</v>
      </c>
      <c r="E59" s="17">
        <v>7729.9</v>
      </c>
      <c r="F59" s="17">
        <v>7793.4000000000005</v>
      </c>
      <c r="G59" s="17">
        <v>7964</v>
      </c>
      <c r="H59" s="17">
        <v>8169.8</v>
      </c>
      <c r="I59" s="17">
        <v>8393.5999999999985</v>
      </c>
      <c r="J59" s="17">
        <v>8986.8999999999978</v>
      </c>
      <c r="K59" s="17">
        <v>9497.7000000000007</v>
      </c>
      <c r="L59" s="17">
        <v>10164.399999999998</v>
      </c>
      <c r="M59" s="17">
        <v>10299.200000000003</v>
      </c>
      <c r="N59" s="17">
        <v>11433.500000000002</v>
      </c>
      <c r="O59" s="18" t="s">
        <v>8</v>
      </c>
      <c r="P59" s="18" t="s">
        <v>1140</v>
      </c>
    </row>
    <row r="60" spans="1:16" x14ac:dyDescent="0.3">
      <c r="A60" s="12" t="s">
        <v>1141</v>
      </c>
      <c r="B60" s="22" t="s">
        <v>66</v>
      </c>
      <c r="C60" s="17">
        <v>1128.5</v>
      </c>
      <c r="D60" s="17">
        <v>1169.2</v>
      </c>
      <c r="E60" s="17">
        <v>1170.5999999999999</v>
      </c>
      <c r="F60" s="17">
        <v>1177</v>
      </c>
      <c r="G60" s="17">
        <v>1184.5</v>
      </c>
      <c r="H60" s="17">
        <v>1197.2</v>
      </c>
      <c r="I60" s="17">
        <v>1198.5</v>
      </c>
      <c r="J60" s="17">
        <v>1209.9000000000001</v>
      </c>
      <c r="K60" s="17">
        <v>1212.3</v>
      </c>
      <c r="L60" s="17">
        <v>1218.8</v>
      </c>
      <c r="M60" s="17">
        <v>1237.7</v>
      </c>
      <c r="N60" s="17">
        <v>1260.5</v>
      </c>
      <c r="O60" s="18" t="s">
        <v>8</v>
      </c>
      <c r="P60" s="18" t="s">
        <v>1140</v>
      </c>
    </row>
    <row r="61" spans="1:16" x14ac:dyDescent="0.3">
      <c r="A61" s="12" t="s">
        <v>1142</v>
      </c>
      <c r="B61" s="22" t="s">
        <v>66</v>
      </c>
      <c r="C61" s="17">
        <v>6243.5000000000009</v>
      </c>
      <c r="D61" s="17">
        <v>6364.5</v>
      </c>
      <c r="E61" s="17">
        <v>6559.3</v>
      </c>
      <c r="F61" s="17">
        <v>6616.4000000000005</v>
      </c>
      <c r="G61" s="17">
        <v>6779.5</v>
      </c>
      <c r="H61" s="17">
        <v>6972.6</v>
      </c>
      <c r="I61" s="17">
        <v>7195.0999999999995</v>
      </c>
      <c r="J61" s="17">
        <v>7776.9999999999982</v>
      </c>
      <c r="K61" s="17">
        <v>8285.4000000000015</v>
      </c>
      <c r="L61" s="17">
        <v>8945.5999999999985</v>
      </c>
      <c r="M61" s="17">
        <v>9061.5000000000018</v>
      </c>
      <c r="N61" s="17">
        <v>10173.000000000002</v>
      </c>
      <c r="O61" s="18" t="s">
        <v>8</v>
      </c>
      <c r="P61" s="18" t="s">
        <v>1140</v>
      </c>
    </row>
    <row r="62" spans="1:16" x14ac:dyDescent="0.3">
      <c r="A62" s="12" t="s">
        <v>1143</v>
      </c>
      <c r="B62" s="22" t="s">
        <v>66</v>
      </c>
      <c r="C62" s="17">
        <v>1779.9</v>
      </c>
      <c r="D62" s="17">
        <v>1949.7</v>
      </c>
      <c r="E62" s="17">
        <v>2015.1</v>
      </c>
      <c r="F62" s="17">
        <v>2045.5</v>
      </c>
      <c r="G62" s="17">
        <v>2136.6999999999998</v>
      </c>
      <c r="H62" s="17">
        <v>2143.1</v>
      </c>
      <c r="I62" s="17">
        <v>2247.4</v>
      </c>
      <c r="J62" s="17">
        <v>2476.9</v>
      </c>
      <c r="K62" s="17">
        <v>2523.1</v>
      </c>
      <c r="L62" s="17">
        <v>2515.6</v>
      </c>
      <c r="M62" s="17">
        <v>2507.3000000000002</v>
      </c>
      <c r="N62" s="17">
        <v>2505.6</v>
      </c>
      <c r="O62" s="18" t="s">
        <v>8</v>
      </c>
      <c r="P62" s="18" t="s">
        <v>1140</v>
      </c>
    </row>
    <row r="63" spans="1:16" x14ac:dyDescent="0.3">
      <c r="A63" s="12" t="s">
        <v>1144</v>
      </c>
      <c r="B63" s="22" t="s">
        <v>66</v>
      </c>
      <c r="C63" s="17">
        <v>802.3</v>
      </c>
      <c r="D63" s="17">
        <v>808.8</v>
      </c>
      <c r="E63" s="17">
        <v>820.2</v>
      </c>
      <c r="F63" s="17">
        <v>833.3</v>
      </c>
      <c r="G63" s="17">
        <v>824.4</v>
      </c>
      <c r="H63" s="17">
        <v>845.4</v>
      </c>
      <c r="I63" s="17">
        <v>844.8</v>
      </c>
      <c r="J63" s="17">
        <v>854.1</v>
      </c>
      <c r="K63" s="17">
        <v>870.7</v>
      </c>
      <c r="L63" s="17">
        <v>887.6</v>
      </c>
      <c r="M63" s="17">
        <v>907.8</v>
      </c>
      <c r="N63" s="17">
        <v>926.3</v>
      </c>
      <c r="O63" s="18" t="s">
        <v>8</v>
      </c>
      <c r="P63" s="18" t="s">
        <v>1140</v>
      </c>
    </row>
    <row r="64" spans="1:16" x14ac:dyDescent="0.3">
      <c r="A64" s="12" t="s">
        <v>1145</v>
      </c>
      <c r="B64" s="22" t="s">
        <v>66</v>
      </c>
      <c r="C64" s="17">
        <v>634.1</v>
      </c>
      <c r="D64" s="17">
        <v>644.70000000000005</v>
      </c>
      <c r="E64" s="17">
        <v>655.8</v>
      </c>
      <c r="F64" s="17">
        <v>668.3</v>
      </c>
      <c r="G64" s="17">
        <v>686.8</v>
      </c>
      <c r="H64" s="17">
        <v>714.1</v>
      </c>
      <c r="I64" s="17">
        <v>733.2</v>
      </c>
      <c r="J64" s="17">
        <v>768</v>
      </c>
      <c r="K64" s="17">
        <v>786</v>
      </c>
      <c r="L64" s="17">
        <v>794.4</v>
      </c>
      <c r="M64" s="17">
        <v>826.9</v>
      </c>
      <c r="N64" s="17">
        <v>912.4</v>
      </c>
      <c r="O64" s="18" t="s">
        <v>8</v>
      </c>
      <c r="P64" s="18" t="s">
        <v>1140</v>
      </c>
    </row>
    <row r="65" spans="1:16" x14ac:dyDescent="0.3">
      <c r="A65" s="12" t="s">
        <v>1146</v>
      </c>
      <c r="B65" s="22" t="s">
        <v>66</v>
      </c>
      <c r="C65" s="17">
        <v>264</v>
      </c>
      <c r="D65" s="17">
        <v>316.2</v>
      </c>
      <c r="E65" s="17">
        <v>324.5</v>
      </c>
      <c r="F65" s="17">
        <v>337.2</v>
      </c>
      <c r="G65" s="17">
        <v>333.2</v>
      </c>
      <c r="H65" s="17">
        <v>338.6</v>
      </c>
      <c r="I65" s="17">
        <v>348.1</v>
      </c>
      <c r="J65" s="17">
        <v>352.1</v>
      </c>
      <c r="K65" s="17">
        <v>362.2</v>
      </c>
      <c r="L65" s="17">
        <v>373.7</v>
      </c>
      <c r="M65" s="17">
        <v>243.3</v>
      </c>
      <c r="N65" s="17">
        <v>266.10000000000002</v>
      </c>
      <c r="O65" s="18" t="s">
        <v>8</v>
      </c>
      <c r="P65" s="18" t="s">
        <v>1140</v>
      </c>
    </row>
    <row r="66" spans="1:16" x14ac:dyDescent="0.3">
      <c r="A66" s="12" t="s">
        <v>1147</v>
      </c>
      <c r="B66" s="22" t="s">
        <v>66</v>
      </c>
      <c r="C66" s="189">
        <v>128.80000000000001</v>
      </c>
      <c r="D66" s="189">
        <v>137.80000000000001</v>
      </c>
      <c r="E66" s="189">
        <v>142.1</v>
      </c>
      <c r="F66" s="189">
        <v>158</v>
      </c>
      <c r="G66" s="189">
        <v>161.6</v>
      </c>
      <c r="H66" s="189">
        <v>166.5</v>
      </c>
      <c r="I66" s="189">
        <v>166.1</v>
      </c>
      <c r="J66" s="189">
        <v>170.1</v>
      </c>
      <c r="K66" s="189">
        <v>183.5</v>
      </c>
      <c r="L66" s="189">
        <v>181.8</v>
      </c>
      <c r="M66" s="189">
        <v>167.5</v>
      </c>
      <c r="N66" s="189">
        <v>195.9</v>
      </c>
      <c r="O66" s="18" t="s">
        <v>8</v>
      </c>
      <c r="P66" s="18" t="s">
        <v>1140</v>
      </c>
    </row>
    <row r="67" spans="1:16" x14ac:dyDescent="0.3">
      <c r="A67" s="24" t="s">
        <v>102</v>
      </c>
      <c r="B67" s="25" t="s">
        <v>103</v>
      </c>
      <c r="C67" s="87">
        <f>IFERROR(SUM(C60:C66)/'[5] Macroeconomy (ktoe)'!C26,"")</f>
        <v>1</v>
      </c>
      <c r="D67" s="87">
        <f>IFERROR(SUM(D60:D66)/'[5] Macroeconomy (ktoe)'!D26,"")</f>
        <v>1</v>
      </c>
      <c r="E67" s="87">
        <f>IFERROR(SUM(E60:E66)/'[5] Macroeconomy (ktoe)'!E26,"")</f>
        <v>1</v>
      </c>
      <c r="F67" s="87">
        <f>IFERROR(SUM(F60:F66)/'[5] Macroeconomy (ktoe)'!F26,"")</f>
        <v>1</v>
      </c>
      <c r="G67" s="87">
        <f>IFERROR(SUM(G60:G66)/'[5] Macroeconomy (ktoe)'!G26,"")</f>
        <v>1</v>
      </c>
      <c r="H67" s="87">
        <f>IFERROR(SUM(H60:H66)/'[5] Macroeconomy (ktoe)'!H26,"")</f>
        <v>1</v>
      </c>
      <c r="I67" s="87">
        <f>IFERROR(SUM(I60:I66)/'[5] Macroeconomy (ktoe)'!I26,"")</f>
        <v>0.99999999999999989</v>
      </c>
      <c r="J67" s="87">
        <f>IFERROR(SUM(J60:J66)/'[5] Macroeconomy (ktoe)'!J26,"")</f>
        <v>0.99999999999999989</v>
      </c>
      <c r="K67" s="87">
        <f>IFERROR(SUM(K60:K66)/'[5] Macroeconomy (ktoe)'!K26,"")</f>
        <v>1.0000000000000002</v>
      </c>
      <c r="L67" s="87">
        <f>IFERROR(SUM(L60:L66)/'[5] Macroeconomy (ktoe)'!L26,"")</f>
        <v>1.0000000000000002</v>
      </c>
      <c r="M67" s="87">
        <f>IFERROR(SUM(M60:M66)/'[5] Macroeconomy (ktoe)'!M26,"")</f>
        <v>1.0000000000000002</v>
      </c>
      <c r="N67" s="87">
        <f>IFERROR(SUM(N60:N66)/'[5] Macroeconomy (ktoe)'!N26,"")</f>
        <v>1</v>
      </c>
      <c r="O67" s="11"/>
      <c r="P67" s="11"/>
    </row>
    <row r="68" spans="1:16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8" x14ac:dyDescent="0.35">
      <c r="A70" s="77" t="s">
        <v>183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3">
      <c r="A72" s="12" t="s">
        <v>1148</v>
      </c>
      <c r="B72" s="22" t="s">
        <v>66</v>
      </c>
      <c r="C72" s="189">
        <f>'[5] Macroeconomy (ktoe)'!C26</f>
        <v>10981.1</v>
      </c>
      <c r="D72" s="189">
        <f>'[5] Macroeconomy (ktoe)'!D26</f>
        <v>11390.9</v>
      </c>
      <c r="E72" s="189">
        <f>'[5] Macroeconomy (ktoe)'!E26</f>
        <v>11687.6</v>
      </c>
      <c r="F72" s="189">
        <f>'[5] Macroeconomy (ktoe)'!F26</f>
        <v>11835.7</v>
      </c>
      <c r="G72" s="189">
        <f>'[5] Macroeconomy (ktoe)'!G26</f>
        <v>12106.7</v>
      </c>
      <c r="H72" s="189">
        <f>'[5] Macroeconomy (ktoe)'!H26</f>
        <v>12377.5</v>
      </c>
      <c r="I72" s="189">
        <f>'[5] Macroeconomy (ktoe)'!I26</f>
        <v>12733.2</v>
      </c>
      <c r="J72" s="189">
        <f>'[5] Macroeconomy (ktoe)'!J26</f>
        <v>13608.1</v>
      </c>
      <c r="K72" s="189">
        <f>'[5] Macroeconomy (ktoe)'!K26</f>
        <v>14223.2</v>
      </c>
      <c r="L72" s="189">
        <f>'[5] Macroeconomy (ktoe)'!L26</f>
        <v>14917.499999999996</v>
      </c>
      <c r="M72" s="189">
        <f>'[5] Macroeconomy (ktoe)'!M26</f>
        <v>14952</v>
      </c>
      <c r="N72" s="189">
        <f>'[5] Macroeconomy (ktoe)'!N26</f>
        <v>16239.800000000001</v>
      </c>
      <c r="O72" s="11"/>
      <c r="P72" s="11"/>
    </row>
    <row r="73" spans="1:16" x14ac:dyDescent="0.3">
      <c r="A73" s="12" t="s">
        <v>1109</v>
      </c>
      <c r="B73" s="22" t="s">
        <v>203</v>
      </c>
      <c r="C73" s="206">
        <f t="shared" ref="C73:N73" si="0">C19/1000</f>
        <v>0.42423808158975823</v>
      </c>
      <c r="D73" s="206">
        <f t="shared" si="0"/>
        <v>0.40216872074137766</v>
      </c>
      <c r="E73" s="206">
        <f t="shared" si="0"/>
        <v>0.42352154389987579</v>
      </c>
      <c r="F73" s="206">
        <f t="shared" si="0"/>
        <v>0.41790866532912962</v>
      </c>
      <c r="G73" s="206">
        <f t="shared" si="0"/>
        <v>0.45762873793828218</v>
      </c>
      <c r="H73" s="206">
        <f t="shared" si="0"/>
        <v>0.46539122957867579</v>
      </c>
      <c r="I73" s="206">
        <f t="shared" si="0"/>
        <v>0.49820865577529372</v>
      </c>
      <c r="J73" s="206">
        <f t="shared" si="0"/>
        <v>0.46871118754179797</v>
      </c>
      <c r="K73" s="206">
        <f t="shared" si="0"/>
        <v>0.49032674118658637</v>
      </c>
      <c r="L73" s="206">
        <f t="shared" si="0"/>
        <v>0.46732588134135855</v>
      </c>
      <c r="M73" s="206">
        <f t="shared" si="0"/>
        <v>0.4715295691220025</v>
      </c>
      <c r="N73" s="206">
        <f t="shared" si="0"/>
        <v>0.50804910671634651</v>
      </c>
      <c r="O73" s="11"/>
      <c r="P73" s="11"/>
    </row>
    <row r="74" spans="1:16" x14ac:dyDescent="0.3">
      <c r="A74" s="12" t="s">
        <v>1107</v>
      </c>
      <c r="B74" s="22" t="s">
        <v>203</v>
      </c>
      <c r="C74" s="206">
        <f t="shared" ref="C74:N74" si="1">C17/1000</f>
        <v>0.21591669055125631</v>
      </c>
      <c r="D74" s="206">
        <f t="shared" si="1"/>
        <v>0.20447597210279927</v>
      </c>
      <c r="E74" s="206">
        <f t="shared" si="1"/>
        <v>0.21806630362090379</v>
      </c>
      <c r="F74" s="206">
        <f t="shared" si="1"/>
        <v>0.2175408426483233</v>
      </c>
      <c r="G74" s="206">
        <f t="shared" si="1"/>
        <v>0.2403267411865864</v>
      </c>
      <c r="H74" s="206">
        <f t="shared" si="1"/>
        <v>0.24187923951466514</v>
      </c>
      <c r="I74" s="206">
        <f t="shared" si="1"/>
        <v>0.25546957103276963</v>
      </c>
      <c r="J74" s="206">
        <f t="shared" si="1"/>
        <v>0.23349574854304</v>
      </c>
      <c r="K74" s="206">
        <f t="shared" si="1"/>
        <v>0.25219738224897298</v>
      </c>
      <c r="L74" s="206">
        <f t="shared" si="1"/>
        <v>0.25117034489347473</v>
      </c>
      <c r="M74" s="206">
        <f t="shared" si="1"/>
        <v>0.24472150568453233</v>
      </c>
      <c r="N74" s="206">
        <f t="shared" si="1"/>
        <v>0.27997516002675071</v>
      </c>
      <c r="O74" s="11"/>
      <c r="P74" s="11"/>
    </row>
    <row r="75" spans="1:16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3">
      <c r="A76" s="164" t="s">
        <v>1149</v>
      </c>
      <c r="B76" s="22" t="s">
        <v>203</v>
      </c>
      <c r="C76" s="276">
        <f>IFERROR((C19/1000)/(1-(C24*0.9)*(1-[5]Housholds!C166)),"")</f>
        <v>0.40150655573552713</v>
      </c>
      <c r="D76" s="276">
        <f>IFERROR((D19/1000)/(1-(D24*0.9)*(1-[5]Housholds!D166)),"")</f>
        <v>0.4214979968373373</v>
      </c>
      <c r="E76" s="276">
        <f>IFERROR((E19/1000)/(1-(E24*0.9)*(1-[5]Housholds!E166)),"")</f>
        <v>0.41640839438904897</v>
      </c>
      <c r="F76" s="276">
        <f>IFERROR((F19/1000)/(1-(F24*0.9)*(1-[5]Housholds!F166)),"")</f>
        <v>0.43374168279081826</v>
      </c>
      <c r="G76" s="276">
        <f>IFERROR((G19/1000)/(1-(G24*0.9)*(1-[5]Housholds!G166)),"")</f>
        <v>0.4755533217846899</v>
      </c>
      <c r="H76" s="276">
        <f>IFERROR((H19/1000)/(1-(H24*0.9)*(1-[5]Housholds!H166)),"")</f>
        <v>0.50624767421263683</v>
      </c>
      <c r="I76" s="276">
        <f>IFERROR((I19/1000)/(1-(I24*0.9)*(1-[5]Housholds!I166)),"")</f>
        <v>0.51319043775615913</v>
      </c>
      <c r="J76" s="276">
        <f>IFERROR((J19/1000)/(1-(J24*0.9)*(1-[5]Housholds!J166)),"")</f>
        <v>0.48265429337780907</v>
      </c>
      <c r="K76" s="276">
        <f>IFERROR((K19/1000)/(1-(K24*0.9)*(1-[5]Housholds!K166)),"")</f>
        <v>0.51420435214202875</v>
      </c>
      <c r="L76" s="276">
        <f>IFERROR((L19/1000)/(1-(L24*0.9)*(1-[5]Housholds!L166)),"")</f>
        <v>0.50154803958021799</v>
      </c>
      <c r="M76" s="276">
        <f>IFERROR((M19/1000)/(1-(M24*0.9)*(1-[5]Housholds!M166)),"")</f>
        <v>0.52159744135324659</v>
      </c>
      <c r="N76" s="276">
        <f>IFERROR((N19/1000)/(1-(N24*0.9)*(1-[5]Housholds!N166)),"")</f>
        <v>0.50804910671634651</v>
      </c>
      <c r="O76" s="11"/>
      <c r="P76" s="11"/>
    </row>
    <row r="77" spans="1:16" x14ac:dyDescent="0.3">
      <c r="A77" s="12" t="s">
        <v>1150</v>
      </c>
      <c r="B77" s="22">
        <v>1</v>
      </c>
      <c r="C77" s="206">
        <f t="shared" ref="C77:N77" si="2">C76/C19*1000</f>
        <v>0.94641799772182478</v>
      </c>
      <c r="D77" s="206">
        <f t="shared" si="2"/>
        <v>1.0480626043227008</v>
      </c>
      <c r="E77" s="206">
        <f t="shared" si="2"/>
        <v>0.98320475165129162</v>
      </c>
      <c r="F77" s="206">
        <f t="shared" si="2"/>
        <v>1.0378863105152871</v>
      </c>
      <c r="G77" s="206">
        <f t="shared" si="2"/>
        <v>1.0391683964760647</v>
      </c>
      <c r="H77" s="206">
        <f t="shared" si="2"/>
        <v>1.0877894597862294</v>
      </c>
      <c r="I77" s="206">
        <f t="shared" si="2"/>
        <v>1.0300713000611186</v>
      </c>
      <c r="J77" s="206">
        <f t="shared" si="2"/>
        <v>1.029747755561665</v>
      </c>
      <c r="K77" s="206">
        <f t="shared" si="2"/>
        <v>1.0486973459731337</v>
      </c>
      <c r="L77" s="206">
        <f t="shared" si="2"/>
        <v>1.0732297516684335</v>
      </c>
      <c r="M77" s="206">
        <f t="shared" si="2"/>
        <v>1.1061818293272072</v>
      </c>
      <c r="N77" s="206">
        <f t="shared" si="2"/>
        <v>0.99999999999999978</v>
      </c>
      <c r="O77" s="11"/>
      <c r="P77" s="11"/>
    </row>
    <row r="78" spans="1:16" x14ac:dyDescent="0.3">
      <c r="A78" s="164" t="s">
        <v>1151</v>
      </c>
      <c r="B78" s="22" t="s">
        <v>203</v>
      </c>
      <c r="C78" s="276">
        <f>IF(C17="",0,C17/(1-(C25*0.9)*(1-[5]Housholds!C166))/1000)</f>
        <v>0.20946539948800003</v>
      </c>
      <c r="D78" s="276">
        <f>IF(D17="",0,D17/(1-(D25*0.9)*(1-[5]Housholds!D166))/1000)</f>
        <v>0.20977451038888414</v>
      </c>
      <c r="E78" s="276">
        <f>IF(E17="",0,E17/(1-(E25*0.9)*(1-[5]Housholds!E166))/1000)</f>
        <v>0.21600863683614385</v>
      </c>
      <c r="F78" s="276">
        <f>IF(F17="",0,F17/(1-(F25*0.9)*(1-[5]Housholds!F166))/1000)</f>
        <v>0.22211857909996519</v>
      </c>
      <c r="G78" s="276">
        <f>IF(G17="",0,G17/(1-(G25*0.9)*(1-[5]Housholds!G166))/1000)</f>
        <v>0.24561862826076039</v>
      </c>
      <c r="H78" s="276">
        <f>IF(H17="",0,H17/(1-(H25*0.9)*(1-[5]Housholds!H166))/1000)</f>
        <v>0.25372951697055973</v>
      </c>
      <c r="I78" s="276">
        <f>IF(I17="",0,I17/(1-(I25*0.9)*(1-[5]Housholds!I166))/1000)</f>
        <v>0.25991518896368598</v>
      </c>
      <c r="J78" s="276">
        <f>IF(J17="",0,J17/(1-(J25*0.9)*(1-[5]Housholds!J166))/1000)</f>
        <v>0.23756650447444888</v>
      </c>
      <c r="K78" s="276">
        <f>IF(K17="",0,K17/(1-(K25*0.9)*(1-[5]Housholds!K166))/1000)</f>
        <v>0.25958644977685913</v>
      </c>
      <c r="L78" s="276">
        <f>IF(L17="",0,L17/(1-(L25*0.9)*(1-[5]Housholds!L166))/1000)</f>
        <v>0.26220115890459406</v>
      </c>
      <c r="M78" s="276">
        <f>IF(M17="",0,M17/(1-(M25*0.9)*(1-[5]Housholds!M166))/1000)</f>
        <v>0.25998976583880962</v>
      </c>
      <c r="N78" s="276">
        <f>IF(N17="",0,N17/(1-(N25*0.9)*(1-[5]Housholds!N166))/1000)</f>
        <v>0.27997516002675071</v>
      </c>
      <c r="O78" s="11"/>
      <c r="P78" s="11"/>
    </row>
    <row r="79" spans="1:16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8" x14ac:dyDescent="0.35">
      <c r="A80" s="274" t="s">
        <v>216</v>
      </c>
      <c r="B80" s="27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3">
      <c r="A82" s="12" t="s">
        <v>1152</v>
      </c>
      <c r="B82" s="22" t="s">
        <v>218</v>
      </c>
      <c r="C82" s="206">
        <f>IFERROR(C76/'[5] Macroeconomy (ktoe)'!C22*1000,"")</f>
        <v>4.4868919490193594E-2</v>
      </c>
      <c r="D82" s="206">
        <f>IFERROR(D76/'[5] Macroeconomy (ktoe)'!D22*1000,"")</f>
        <v>4.2725124676848504E-2</v>
      </c>
      <c r="E82" s="206">
        <f>IFERROR(E76/'[5] Macroeconomy (ktoe)'!E22*1000,"")</f>
        <v>3.9055772975830363E-2</v>
      </c>
      <c r="F82" s="206">
        <f>IFERROR(F76/'[5] Macroeconomy (ktoe)'!F22*1000,"")</f>
        <v>3.8370681317204142E-2</v>
      </c>
      <c r="G82" s="206">
        <f>IFERROR(G76/'[5] Macroeconomy (ktoe)'!G22*1000,"")</f>
        <v>3.9620795913176146E-2</v>
      </c>
      <c r="H82" s="206">
        <f>IFERROR(H76/'[5] Macroeconomy (ktoe)'!H22*1000,"")</f>
        <v>4.0900640211079531E-2</v>
      </c>
      <c r="I82" s="206">
        <f>IFERROR(I76/'[5] Macroeconomy (ktoe)'!I22*1000,"")</f>
        <v>3.9306263518953388E-2</v>
      </c>
      <c r="J82" s="206">
        <f>IFERROR(J76/'[5] Macroeconomy (ktoe)'!J22*1000,"")</f>
        <v>3.3546546566335524E-2</v>
      </c>
      <c r="K82" s="206">
        <f>IFERROR(K76/'[5] Macroeconomy (ktoe)'!K22*1000,"")</f>
        <v>3.2572410106231832E-2</v>
      </c>
      <c r="L82" s="206">
        <f>IFERROR(L76/'[5] Macroeconomy (ktoe)'!L22*1000,"")</f>
        <v>2.9350204792737651E-2</v>
      </c>
      <c r="M82" s="206">
        <f>IFERROR(M76/'[5] Macroeconomy (ktoe)'!M22*1000,"")</f>
        <v>3.0156939503890864E-2</v>
      </c>
      <c r="N82" s="206">
        <f>IFERROR(N76/'[5] Macroeconomy (ktoe)'!N22*1000,"")</f>
        <v>2.5835194849547244E-2</v>
      </c>
      <c r="O82" s="11"/>
      <c r="P82" s="11"/>
    </row>
    <row r="83" spans="1:16" x14ac:dyDescent="0.3">
      <c r="A83" s="12" t="s">
        <v>1153</v>
      </c>
      <c r="B83" s="22" t="s">
        <v>628</v>
      </c>
      <c r="C83" s="190">
        <f>IFERROR((C17/0.086)/'[5] Macroeconomy (ktoe)'!C26*1000,"")</f>
        <v>228.63458054807523</v>
      </c>
      <c r="D83" s="190">
        <f>IFERROR((D17/0.086)/'[5] Macroeconomy (ktoe)'!D26*1000,"")</f>
        <v>208.73044119346929</v>
      </c>
      <c r="E83" s="190">
        <f>IFERROR((E17/0.086)/'[5] Macroeconomy (ktoe)'!E26*1000,"")</f>
        <v>216.95255597952729</v>
      </c>
      <c r="F83" s="190">
        <f>IFERROR((F17/0.086)/'[5] Macroeconomy (ktoe)'!F26*1000,"")</f>
        <v>213.72159500133051</v>
      </c>
      <c r="G83" s="190">
        <f>IFERROR((G17/0.086)/'[5] Macroeconomy (ktoe)'!G26*1000,"")</f>
        <v>230.82235378275684</v>
      </c>
      <c r="H83" s="190">
        <f>IFERROR((H17/0.086)/'[5] Macroeconomy (ktoe)'!H26*1000,"")</f>
        <v>227.23080562974374</v>
      </c>
      <c r="I83" s="190">
        <f>IFERROR((I17/0.086)/'[5] Macroeconomy (ktoe)'!I26*1000,"")</f>
        <v>233.29378375881839</v>
      </c>
      <c r="J83" s="190">
        <f>IFERROR((J17/0.086)/'[5] Macroeconomy (ktoe)'!J26*1000,"")</f>
        <v>199.51843707231143</v>
      </c>
      <c r="K83" s="190">
        <f>IFERROR((K17/0.086)/'[5] Macroeconomy (ktoe)'!K26*1000,"")</f>
        <v>206.17917912772467</v>
      </c>
      <c r="L83" s="190">
        <f>IFERROR((L17/0.086)/'[5] Macroeconomy (ktoe)'!L26*1000,"")</f>
        <v>195.78249745185715</v>
      </c>
      <c r="M83" s="190">
        <f>IFERROR((M17/0.086)/'[5] Macroeconomy (ktoe)'!M26*1000,"")</f>
        <v>190.31560348505323</v>
      </c>
      <c r="N83" s="190">
        <f>IFERROR((N17/0.086)/'[5] Macroeconomy (ktoe)'!N26*1000,"")</f>
        <v>200.46583803926924</v>
      </c>
      <c r="O83" s="11"/>
      <c r="P83" s="11"/>
    </row>
    <row r="84" spans="1:16" x14ac:dyDescent="0.3">
      <c r="A84" s="12" t="s">
        <v>1154</v>
      </c>
      <c r="B84" s="22" t="s">
        <v>1155</v>
      </c>
      <c r="C84" s="151">
        <f>IFERROR(C76/C44*1000,"")</f>
        <v>1.0922376380183001</v>
      </c>
      <c r="D84" s="151">
        <f t="shared" ref="D84:N84" si="3">IFERROR(D76/D44*1000,"")</f>
        <v>1.1153691369074816</v>
      </c>
      <c r="E84" s="151">
        <f t="shared" si="3"/>
        <v>1.0682616582582065</v>
      </c>
      <c r="F84" s="151">
        <f t="shared" si="3"/>
        <v>1.0808414721924202</v>
      </c>
      <c r="G84" s="151">
        <f t="shared" si="3"/>
        <v>1.1584733782818268</v>
      </c>
      <c r="H84" s="151">
        <f t="shared" si="3"/>
        <v>1.2184059547837229</v>
      </c>
      <c r="I84" s="151">
        <f t="shared" si="3"/>
        <v>1.2086444600945809</v>
      </c>
      <c r="J84" s="151">
        <f t="shared" si="3"/>
        <v>1.1164799754286585</v>
      </c>
      <c r="K84" s="151">
        <f t="shared" si="3"/>
        <v>1.1678499935090363</v>
      </c>
      <c r="L84" s="151">
        <f t="shared" si="3"/>
        <v>1.1052182449982766</v>
      </c>
      <c r="M84" s="151">
        <f t="shared" si="3"/>
        <v>1.1819565858899763</v>
      </c>
      <c r="N84" s="151">
        <f t="shared" si="3"/>
        <v>1.1504735206439005</v>
      </c>
      <c r="O84" s="11"/>
      <c r="P84" s="11"/>
    </row>
    <row r="85" spans="1:16" x14ac:dyDescent="0.3">
      <c r="A85" s="12" t="s">
        <v>1156</v>
      </c>
      <c r="B85" s="22" t="s">
        <v>1157</v>
      </c>
      <c r="C85" s="190">
        <f>IFERROR(C74/C44*1000*11630,"")</f>
        <v>6831.0966025873531</v>
      </c>
      <c r="D85" s="190">
        <f t="shared" ref="D85:N85" si="4">IFERROR(D74/D44*1000*11630,"")</f>
        <v>6292.8170297844827</v>
      </c>
      <c r="E85" s="190">
        <f t="shared" si="4"/>
        <v>6506.1855082378415</v>
      </c>
      <c r="F85" s="190">
        <f t="shared" si="4"/>
        <v>6304.5103413904808</v>
      </c>
      <c r="G85" s="190">
        <f t="shared" si="4"/>
        <v>6808.7697929354445</v>
      </c>
      <c r="H85" s="190">
        <f t="shared" si="4"/>
        <v>6770.2901457414082</v>
      </c>
      <c r="I85" s="190">
        <f t="shared" si="4"/>
        <v>6997.4354948448208</v>
      </c>
      <c r="J85" s="190">
        <f t="shared" si="4"/>
        <v>6281.6459763024632</v>
      </c>
      <c r="K85" s="190">
        <f t="shared" si="4"/>
        <v>6661.4934261993067</v>
      </c>
      <c r="L85" s="190">
        <f t="shared" si="4"/>
        <v>6437.0011262915614</v>
      </c>
      <c r="M85" s="190">
        <f t="shared" si="4"/>
        <v>6449.3793589646748</v>
      </c>
      <c r="N85" s="190">
        <f t="shared" si="4"/>
        <v>7373.440016103058</v>
      </c>
      <c r="O85" s="11"/>
      <c r="P85" s="11"/>
    </row>
    <row r="86" spans="1:16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</sheetData>
  <conditionalFormatting sqref="O7:O18">
    <cfRule type="expression" dxfId="120" priority="55">
      <formula>AND(COUNT(K5:XEM5)&lt;&gt;0,(O7)="")</formula>
    </cfRule>
  </conditionalFormatting>
  <conditionalFormatting sqref="O7:O18">
    <cfRule type="expression" dxfId="119" priority="56">
      <formula>AND($AK5&lt;&gt;"",ISBLANK($E5:$AG5))</formula>
    </cfRule>
  </conditionalFormatting>
  <conditionalFormatting sqref="C33:N33 C35:N37 C39:N40 N38">
    <cfRule type="containsBlanks" dxfId="118" priority="49">
      <formula>LEN(TRIM(C33))=0</formula>
    </cfRule>
  </conditionalFormatting>
  <conditionalFormatting sqref="C24:N25">
    <cfRule type="containsBlanks" dxfId="117" priority="52">
      <formula>LEN(TRIM(C24))=0</formula>
    </cfRule>
  </conditionalFormatting>
  <conditionalFormatting sqref="P7:P18">
    <cfRule type="expression" dxfId="116" priority="53">
      <formula>AND(COUNT(J7:XEL7)&lt;&gt;0,(P7)="")</formula>
    </cfRule>
  </conditionalFormatting>
  <conditionalFormatting sqref="P7:P18">
    <cfRule type="expression" dxfId="115" priority="54">
      <formula>AND($AM7&lt;&gt;"",ISBLANK($E7:$AG7))</formula>
    </cfRule>
  </conditionalFormatting>
  <conditionalFormatting sqref="O24:O25">
    <cfRule type="expression" dxfId="114" priority="50">
      <formula>AND(COUNT(K22:XEM22)&lt;&gt;0,(O24)="")</formula>
    </cfRule>
  </conditionalFormatting>
  <conditionalFormatting sqref="O24:O25">
    <cfRule type="expression" dxfId="113" priority="51">
      <formula>AND($AK22&lt;&gt;"",ISBLANK($E22:$AG22))</formula>
    </cfRule>
  </conditionalFormatting>
  <conditionalFormatting sqref="O33:O40">
    <cfRule type="expression" dxfId="112" priority="47">
      <formula>AND(COUNT(K31:XEM31)&lt;&gt;0,(O33)="")</formula>
    </cfRule>
  </conditionalFormatting>
  <conditionalFormatting sqref="O33:O40">
    <cfRule type="expression" dxfId="111" priority="48">
      <formula>AND($AK31&lt;&gt;"",ISBLANK($E31:$AG31))</formula>
    </cfRule>
  </conditionalFormatting>
  <conditionalFormatting sqref="C44:N52">
    <cfRule type="containsBlanks" dxfId="110" priority="46">
      <formula>LEN(TRIM(C44))=0</formula>
    </cfRule>
  </conditionalFormatting>
  <conditionalFormatting sqref="O45">
    <cfRule type="expression" dxfId="109" priority="44">
      <formula>AND(COUNT(K43:XEM43)&lt;&gt;0,(O45)="")</formula>
    </cfRule>
  </conditionalFormatting>
  <conditionalFormatting sqref="O45">
    <cfRule type="expression" dxfId="108" priority="45">
      <formula>AND($AK43&lt;&gt;"",ISBLANK($E43:$AG43))</formula>
    </cfRule>
  </conditionalFormatting>
  <conditionalFormatting sqref="O44">
    <cfRule type="expression" dxfId="107" priority="42">
      <formula>AND(COUNT(K42:XEM42)&lt;&gt;0,(O44)="")</formula>
    </cfRule>
  </conditionalFormatting>
  <conditionalFormatting sqref="O44">
    <cfRule type="expression" dxfId="106" priority="43">
      <formula>AND($AK42&lt;&gt;"",ISBLANK($E42:$AG42))</formula>
    </cfRule>
  </conditionalFormatting>
  <conditionalFormatting sqref="O46:O52">
    <cfRule type="expression" dxfId="105" priority="40">
      <formula>AND(COUNT(K44:XEM44)&lt;&gt;0,(O46)="")</formula>
    </cfRule>
  </conditionalFormatting>
  <conditionalFormatting sqref="O46:O52">
    <cfRule type="expression" dxfId="104" priority="41">
      <formula>AND($AK44&lt;&gt;"",ISBLANK($E44:$AG44))</formula>
    </cfRule>
  </conditionalFormatting>
  <conditionalFormatting sqref="C55:E55">
    <cfRule type="containsBlanks" dxfId="103" priority="39">
      <formula>LEN(TRIM(C55))=0</formula>
    </cfRule>
  </conditionalFormatting>
  <conditionalFormatting sqref="F55:N55">
    <cfRule type="containsBlanks" dxfId="102" priority="38">
      <formula>LEN(TRIM(F55))=0</formula>
    </cfRule>
  </conditionalFormatting>
  <conditionalFormatting sqref="O55">
    <cfRule type="expression" dxfId="101" priority="36">
      <formula>AND(COUNT(K53:XEM53)&lt;&gt;0,(O55)="")</formula>
    </cfRule>
  </conditionalFormatting>
  <conditionalFormatting sqref="O55">
    <cfRule type="expression" dxfId="100" priority="37">
      <formula>AND($AK53&lt;&gt;"",ISBLANK($E53:$AG53))</formula>
    </cfRule>
  </conditionalFormatting>
  <conditionalFormatting sqref="P44:P52">
    <cfRule type="expression" dxfId="99" priority="34">
      <formula>AND(COUNT(L42:XEN42)&lt;&gt;0,(P44)="")</formula>
    </cfRule>
  </conditionalFormatting>
  <conditionalFormatting sqref="P44:P52">
    <cfRule type="expression" dxfId="98" priority="35">
      <formula>AND($AK42&lt;&gt;"",ISBLANK($E42:$AG42))</formula>
    </cfRule>
  </conditionalFormatting>
  <conditionalFormatting sqref="C59:N66">
    <cfRule type="containsBlanks" dxfId="97" priority="33">
      <formula>LEN(TRIM(C59))=0</formula>
    </cfRule>
  </conditionalFormatting>
  <conditionalFormatting sqref="O59">
    <cfRule type="expression" dxfId="96" priority="31">
      <formula>AND(COUNT(K57:XEM57)&lt;&gt;0,(O59)="")</formula>
    </cfRule>
  </conditionalFormatting>
  <conditionalFormatting sqref="O59">
    <cfRule type="expression" dxfId="95" priority="32">
      <formula>AND($AK57&lt;&gt;"",ISBLANK($E57:$AG57))</formula>
    </cfRule>
  </conditionalFormatting>
  <conditionalFormatting sqref="O60:O66">
    <cfRule type="expression" dxfId="94" priority="29">
      <formula>AND(COUNT(K58:XEM58)&lt;&gt;0,(O60)="")</formula>
    </cfRule>
  </conditionalFormatting>
  <conditionalFormatting sqref="O60:O66">
    <cfRule type="expression" dxfId="93" priority="30">
      <formula>AND($AK58&lt;&gt;"",ISBLANK($E58:$AG58))</formula>
    </cfRule>
  </conditionalFormatting>
  <conditionalFormatting sqref="P59">
    <cfRule type="expression" dxfId="92" priority="27">
      <formula>AND(COUNT(L57:XEN57)&lt;&gt;0,(P59)="")</formula>
    </cfRule>
  </conditionalFormatting>
  <conditionalFormatting sqref="P59">
    <cfRule type="expression" dxfId="91" priority="28">
      <formula>AND($AK57&lt;&gt;"",ISBLANK($E57:$AG57))</formula>
    </cfRule>
  </conditionalFormatting>
  <conditionalFormatting sqref="P60">
    <cfRule type="expression" dxfId="90" priority="25">
      <formula>AND(COUNT(L58:XEN58)&lt;&gt;0,(P60)="")</formula>
    </cfRule>
  </conditionalFormatting>
  <conditionalFormatting sqref="P60">
    <cfRule type="expression" dxfId="89" priority="26">
      <formula>AND($AK58&lt;&gt;"",ISBLANK($E58:$AG58))</formula>
    </cfRule>
  </conditionalFormatting>
  <conditionalFormatting sqref="P61">
    <cfRule type="expression" dxfId="88" priority="23">
      <formula>AND(COUNT(L59:XEN59)&lt;&gt;0,(P61)="")</formula>
    </cfRule>
  </conditionalFormatting>
  <conditionalFormatting sqref="P61">
    <cfRule type="expression" dxfId="87" priority="24">
      <formula>AND($AK59&lt;&gt;"",ISBLANK($E59:$AG59))</formula>
    </cfRule>
  </conditionalFormatting>
  <conditionalFormatting sqref="P62">
    <cfRule type="expression" dxfId="86" priority="21">
      <formula>AND(COUNT(L60:XEN60)&lt;&gt;0,(P62)="")</formula>
    </cfRule>
  </conditionalFormatting>
  <conditionalFormatting sqref="P62">
    <cfRule type="expression" dxfId="85" priority="22">
      <formula>AND($AK60&lt;&gt;"",ISBLANK($E60:$AG60))</formula>
    </cfRule>
  </conditionalFormatting>
  <conditionalFormatting sqref="P63:P66">
    <cfRule type="expression" dxfId="84" priority="19">
      <formula>AND(COUNT(L61:XEN61)&lt;&gt;0,(P63)="")</formula>
    </cfRule>
  </conditionalFormatting>
  <conditionalFormatting sqref="P63:P66">
    <cfRule type="expression" dxfId="83" priority="20">
      <formula>AND($AK61&lt;&gt;"",ISBLANK($E61:$AG61))</formula>
    </cfRule>
  </conditionalFormatting>
  <conditionalFormatting sqref="P34">
    <cfRule type="expression" dxfId="82" priority="17">
      <formula>AND($AK34&lt;&gt;"",ISBLANK($E34:$AG34))</formula>
    </cfRule>
  </conditionalFormatting>
  <conditionalFormatting sqref="P34">
    <cfRule type="expression" dxfId="81" priority="18">
      <formula>AND(COUNT(N34:XEN34)&lt;&gt;0,(P34)="")</formula>
    </cfRule>
  </conditionalFormatting>
  <conditionalFormatting sqref="P33">
    <cfRule type="expression" dxfId="80" priority="15">
      <formula>AND(COUNT(L31:XEN31)&lt;&gt;0,(P33)="")</formula>
    </cfRule>
  </conditionalFormatting>
  <conditionalFormatting sqref="P33">
    <cfRule type="expression" dxfId="79" priority="16">
      <formula>AND($AK31&lt;&gt;"",ISBLANK($E31:$AG31))</formula>
    </cfRule>
  </conditionalFormatting>
  <conditionalFormatting sqref="P35:P40">
    <cfRule type="expression" dxfId="78" priority="13">
      <formula>AND(COUNT(L33:XEN33)&lt;&gt;0,(P35)="")</formula>
    </cfRule>
  </conditionalFormatting>
  <conditionalFormatting sqref="P35:P40">
    <cfRule type="expression" dxfId="77" priority="14">
      <formula>AND($AK33&lt;&gt;"",ISBLANK($E33:$AG33))</formula>
    </cfRule>
  </conditionalFormatting>
  <conditionalFormatting sqref="C7:N19">
    <cfRule type="containsBlanks" dxfId="76" priority="12">
      <formula>LEN(TRIM(C7))=0</formula>
    </cfRule>
  </conditionalFormatting>
  <conditionalFormatting sqref="C72:N72">
    <cfRule type="containsBlanks" dxfId="75" priority="10">
      <formula>LEN(TRIM(C72))=0</formula>
    </cfRule>
  </conditionalFormatting>
  <conditionalFormatting sqref="C73:N73">
    <cfRule type="containsBlanks" dxfId="74" priority="9">
      <formula>LEN(TRIM(C73))=0</formula>
    </cfRule>
  </conditionalFormatting>
  <conditionalFormatting sqref="C74:N74">
    <cfRule type="containsBlanks" dxfId="73" priority="8">
      <formula>LEN(TRIM(C74))=0</formula>
    </cfRule>
  </conditionalFormatting>
  <conditionalFormatting sqref="C76:N76">
    <cfRule type="containsBlanks" dxfId="72" priority="7">
      <formula>LEN(TRIM(C76))=0</formula>
    </cfRule>
  </conditionalFormatting>
  <conditionalFormatting sqref="C77:N77">
    <cfRule type="containsBlanks" dxfId="71" priority="6">
      <formula>LEN(TRIM(C77))=0</formula>
    </cfRule>
  </conditionalFormatting>
  <conditionalFormatting sqref="C78:N78">
    <cfRule type="containsBlanks" dxfId="70" priority="5">
      <formula>LEN(TRIM(C78))=0</formula>
    </cfRule>
  </conditionalFormatting>
  <conditionalFormatting sqref="C82:N82">
    <cfRule type="containsBlanks" dxfId="69" priority="4">
      <formula>LEN(TRIM(C82))=0</formula>
    </cfRule>
  </conditionalFormatting>
  <conditionalFormatting sqref="C83:N83">
    <cfRule type="containsBlanks" dxfId="68" priority="3">
      <formula>LEN(TRIM(C83))=0</formula>
    </cfRule>
  </conditionalFormatting>
  <conditionalFormatting sqref="C84:N84">
    <cfRule type="containsBlanks" dxfId="67" priority="2">
      <formula>LEN(TRIM(C84))=0</formula>
    </cfRule>
  </conditionalFormatting>
  <conditionalFormatting sqref="C85:N85">
    <cfRule type="containsBlanks" dxfId="66" priority="1">
      <formula>LEN(TRIM(C85))=0</formula>
    </cfRule>
  </conditionalFormatting>
  <dataValidations count="2">
    <dataValidation type="custom" allowBlank="1" showInputMessage="1" showErrorMessage="1" error="Invalid source name, please refer to the guidelines" sqref="O2:O3" xr:uid="{97539A69-6DEE-48AF-9539-A610E5FBEE48}">
      <formula1>AND(LEN(O:O)&lt;21,ISERROR(SEARCH("&amp;",O:O))=TRUE,ISERROR(SEARCH(" ",O:O))=TRUE,ISERROR(SEARCH(",",O:O))=TRUE,ISERROR(SEARCH(";",O:O))=TRUE,ISERROR(SEARCH("=",O:O))=TRUE,ISERROR(SEARCH("'",O:O))=TRUE)</formula1>
    </dataValidation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7:P18 P34:P40" xr:uid="{72C5C512-14F1-49F8-BB93-298B4F0CD165}">
      <formula1>AND(LEN(O7)&lt;21,ISERROR(SEARCH("&amp;",O7))=TRUE,ISERROR(SEARCH(" ",O7))=TRUE,ISERROR(SEARCH("/",O7))=TRUE,ISERROR(SEARCH(";",O7))=TRUE,ISERROR(SEARCH("=",O7))=TRUE,ISERROR(SEARCH("'",O7))=TRUE)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AD52-2A85-4AA5-BFCF-324984CAD191}">
  <sheetPr>
    <tabColor rgb="FF7030A0"/>
  </sheetPr>
  <dimension ref="A2:P10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48" sqref="K48"/>
    </sheetView>
  </sheetViews>
  <sheetFormatPr defaultRowHeight="14.4" x14ac:dyDescent="0.3"/>
  <cols>
    <col min="1" max="1" width="45.33203125" customWidth="1"/>
    <col min="2" max="2" width="13.88671875" bestFit="1" customWidth="1"/>
    <col min="3" max="3" width="11.109375" bestFit="1" customWidth="1"/>
    <col min="15" max="15" width="16.6640625" customWidth="1"/>
    <col min="16" max="16" width="38" customWidth="1"/>
  </cols>
  <sheetData>
    <row r="2" spans="1:16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" x14ac:dyDescent="0.3">
      <c r="A5" s="2" t="s">
        <v>1102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3">
      <c r="A7" s="12" t="s">
        <v>1103</v>
      </c>
      <c r="B7" s="22" t="s">
        <v>224</v>
      </c>
      <c r="C7" s="17">
        <v>340</v>
      </c>
      <c r="D7" s="17">
        <v>493.33333333333326</v>
      </c>
      <c r="E7" s="17">
        <v>505</v>
      </c>
      <c r="F7" s="17">
        <v>458.33333333333326</v>
      </c>
      <c r="G7" s="17">
        <v>352.22222222222223</v>
      </c>
      <c r="H7" s="17">
        <v>386.66666666666674</v>
      </c>
      <c r="I7" s="17">
        <v>305.83333333333331</v>
      </c>
      <c r="J7" s="17">
        <v>349.44444444444446</v>
      </c>
      <c r="K7" s="17">
        <v>318.33333333333331</v>
      </c>
      <c r="L7" s="17">
        <v>297.77777777777777</v>
      </c>
      <c r="M7" s="17">
        <v>294.44444444444451</v>
      </c>
      <c r="N7" s="17">
        <v>260.83333333333331</v>
      </c>
      <c r="O7" s="18" t="s">
        <v>8</v>
      </c>
      <c r="P7" s="18" t="s">
        <v>108</v>
      </c>
    </row>
    <row r="8" spans="1:16" x14ac:dyDescent="0.3">
      <c r="A8" s="42" t="s">
        <v>126</v>
      </c>
      <c r="B8" s="22" t="s">
        <v>224</v>
      </c>
      <c r="C8" s="17">
        <v>12.5</v>
      </c>
      <c r="D8" s="17">
        <v>12.5</v>
      </c>
      <c r="E8" s="17">
        <v>12.777777777777777</v>
      </c>
      <c r="F8" s="17">
        <v>12.777777777777777</v>
      </c>
      <c r="G8" s="17">
        <v>12.777777777777777</v>
      </c>
      <c r="H8" s="17">
        <v>12.777777777777777</v>
      </c>
      <c r="I8" s="17">
        <v>25.277777777777779</v>
      </c>
      <c r="J8" s="17">
        <v>38.055555555555557</v>
      </c>
      <c r="K8" s="17">
        <v>12.777777777777777</v>
      </c>
      <c r="L8" s="17">
        <v>25.277777777777779</v>
      </c>
      <c r="M8" s="17">
        <v>26.111111111111114</v>
      </c>
      <c r="N8" s="17">
        <v>18.888888888888889</v>
      </c>
      <c r="O8" s="18" t="s">
        <v>8</v>
      </c>
      <c r="P8" s="18" t="s">
        <v>108</v>
      </c>
    </row>
    <row r="9" spans="1:16" x14ac:dyDescent="0.3">
      <c r="A9" s="42" t="s">
        <v>138</v>
      </c>
      <c r="B9" s="22" t="s">
        <v>224</v>
      </c>
      <c r="C9" s="17">
        <v>305.55555555555554</v>
      </c>
      <c r="D9" s="17">
        <v>470</v>
      </c>
      <c r="E9" s="17">
        <v>458.33333333333331</v>
      </c>
      <c r="F9" s="17">
        <v>434.72222222222223</v>
      </c>
      <c r="G9" s="17">
        <v>305.55555555555554</v>
      </c>
      <c r="H9" s="17">
        <v>328.88888888888886</v>
      </c>
      <c r="I9" s="17">
        <v>246.66666666666666</v>
      </c>
      <c r="J9" s="17">
        <v>293.88888888888886</v>
      </c>
      <c r="K9" s="17">
        <v>270.27777777777777</v>
      </c>
      <c r="L9" s="17">
        <v>235</v>
      </c>
      <c r="M9" s="17">
        <v>258.61111111111114</v>
      </c>
      <c r="N9" s="17">
        <v>235</v>
      </c>
      <c r="O9" s="18" t="s">
        <v>8</v>
      </c>
      <c r="P9" s="18" t="s">
        <v>108</v>
      </c>
    </row>
    <row r="10" spans="1:16" x14ac:dyDescent="0.3">
      <c r="A10" s="42" t="s">
        <v>139</v>
      </c>
      <c r="B10" s="22" t="s">
        <v>224</v>
      </c>
      <c r="C10" s="17">
        <v>21.944444444444443</v>
      </c>
      <c r="D10" s="17">
        <v>10.833333333333334</v>
      </c>
      <c r="E10" s="17">
        <v>33.888888888888886</v>
      </c>
      <c r="F10" s="17">
        <v>10.833333333333334</v>
      </c>
      <c r="G10" s="17">
        <v>33.888888888888886</v>
      </c>
      <c r="H10" s="17">
        <v>45</v>
      </c>
      <c r="I10" s="17">
        <v>33.888888888888886</v>
      </c>
      <c r="J10" s="17">
        <v>17.5</v>
      </c>
      <c r="K10" s="17">
        <v>35.277777777777779</v>
      </c>
      <c r="L10" s="17">
        <v>37.5</v>
      </c>
      <c r="M10" s="17">
        <v>9.7222222222222214</v>
      </c>
      <c r="N10" s="17">
        <v>6.9444444444444446</v>
      </c>
      <c r="O10" s="18" t="s">
        <v>8</v>
      </c>
      <c r="P10" s="18" t="s">
        <v>108</v>
      </c>
    </row>
    <row r="11" spans="1:16" x14ac:dyDescent="0.3">
      <c r="A11" s="12" t="s">
        <v>1104</v>
      </c>
      <c r="B11" s="22" t="s">
        <v>224</v>
      </c>
      <c r="C11" s="17">
        <v>345.83333333333331</v>
      </c>
      <c r="D11" s="17">
        <v>360.55555555555554</v>
      </c>
      <c r="E11" s="17">
        <v>405.55555555555554</v>
      </c>
      <c r="F11" s="17">
        <v>503.88888888888886</v>
      </c>
      <c r="G11" s="17">
        <v>777.22222222222217</v>
      </c>
      <c r="H11" s="17">
        <v>813.88888888888891</v>
      </c>
      <c r="I11" s="17">
        <v>922.5</v>
      </c>
      <c r="J11" s="17">
        <v>848.88888888888891</v>
      </c>
      <c r="K11" s="17">
        <v>886.38888888888891</v>
      </c>
      <c r="L11" s="17">
        <v>853.61111111111109</v>
      </c>
      <c r="M11" s="17">
        <v>875</v>
      </c>
      <c r="N11" s="17">
        <v>925.55555555555554</v>
      </c>
      <c r="O11" s="18" t="s">
        <v>8</v>
      </c>
      <c r="P11" s="18" t="s">
        <v>108</v>
      </c>
    </row>
    <row r="12" spans="1:16" x14ac:dyDescent="0.3">
      <c r="A12" s="12" t="s">
        <v>1105</v>
      </c>
      <c r="B12" s="22" t="s">
        <v>224</v>
      </c>
      <c r="C12" s="17">
        <v>26.944444444444443</v>
      </c>
      <c r="D12" s="17">
        <v>19.444444444444443</v>
      </c>
      <c r="E12" s="17">
        <v>23.333333333333332</v>
      </c>
      <c r="F12" s="17">
        <v>38.611111111111107</v>
      </c>
      <c r="G12" s="17">
        <v>23.333333333333332</v>
      </c>
      <c r="H12" s="17">
        <v>8.3333333333333339</v>
      </c>
      <c r="I12" s="17">
        <v>13.888888888888889</v>
      </c>
      <c r="J12" s="17">
        <v>0</v>
      </c>
      <c r="K12" s="17">
        <v>12.222222222222221</v>
      </c>
      <c r="L12" s="17">
        <v>11.111111111111111</v>
      </c>
      <c r="M12" s="17">
        <v>11.944444444444443</v>
      </c>
      <c r="N12" s="17">
        <v>11.666666666666666</v>
      </c>
      <c r="O12" s="18" t="s">
        <v>8</v>
      </c>
      <c r="P12" s="18" t="s">
        <v>108</v>
      </c>
    </row>
    <row r="13" spans="1:16" x14ac:dyDescent="0.3">
      <c r="A13" s="42" t="s">
        <v>114</v>
      </c>
      <c r="B13" s="22" t="s">
        <v>224</v>
      </c>
      <c r="C13" s="17">
        <v>22.5</v>
      </c>
      <c r="D13" s="17">
        <v>14.999999999999998</v>
      </c>
      <c r="E13" s="17">
        <v>14.999999999999998</v>
      </c>
      <c r="F13" s="17">
        <v>30.277777777777782</v>
      </c>
      <c r="G13" s="17">
        <v>14.999999999999998</v>
      </c>
      <c r="H13" s="17">
        <v>0</v>
      </c>
      <c r="I13" s="17">
        <v>0</v>
      </c>
      <c r="J13" s="17">
        <v>0</v>
      </c>
      <c r="K13" s="17">
        <v>12.222222222222221</v>
      </c>
      <c r="L13" s="17">
        <v>11.111111111111111</v>
      </c>
      <c r="M13" s="17">
        <v>11.944444444444443</v>
      </c>
      <c r="N13" s="17">
        <v>11.666666666666666</v>
      </c>
      <c r="O13" s="18" t="s">
        <v>8</v>
      </c>
      <c r="P13" s="18" t="s">
        <v>108</v>
      </c>
    </row>
    <row r="14" spans="1:16" x14ac:dyDescent="0.3">
      <c r="A14" s="42" t="s">
        <v>313</v>
      </c>
      <c r="B14" s="22" t="s">
        <v>224</v>
      </c>
      <c r="C14" s="17">
        <v>4.4444444444444446</v>
      </c>
      <c r="D14" s="17">
        <v>4.4444444444444446</v>
      </c>
      <c r="E14" s="17">
        <v>4.4444444444444446</v>
      </c>
      <c r="F14" s="17">
        <v>4.4444444444444446</v>
      </c>
      <c r="G14" s="17">
        <v>4.4444444444444446</v>
      </c>
      <c r="H14" s="17">
        <v>4.4444444444444446</v>
      </c>
      <c r="I14" s="17">
        <v>4.4444444444444446</v>
      </c>
      <c r="J14" s="17">
        <v>4.4444444444444446</v>
      </c>
      <c r="K14" s="17">
        <v>4.4444444444444446</v>
      </c>
      <c r="L14" s="17">
        <v>4.4444444444444446</v>
      </c>
      <c r="M14" s="17">
        <v>4.4444444444444446</v>
      </c>
      <c r="N14" s="17">
        <v>4.4444444444444446</v>
      </c>
      <c r="O14" s="18" t="s">
        <v>8</v>
      </c>
      <c r="P14" s="18" t="s">
        <v>108</v>
      </c>
    </row>
    <row r="15" spans="1:16" x14ac:dyDescent="0.3">
      <c r="A15" s="42" t="s">
        <v>142</v>
      </c>
      <c r="B15" s="22" t="s">
        <v>224</v>
      </c>
      <c r="C15" s="17">
        <v>4.4444444444444446</v>
      </c>
      <c r="D15" s="17">
        <v>4.4444444444444446</v>
      </c>
      <c r="E15" s="17">
        <v>8.3333333333333339</v>
      </c>
      <c r="F15" s="17">
        <v>8.3333333333333339</v>
      </c>
      <c r="G15" s="17">
        <v>8.3333333333333339</v>
      </c>
      <c r="H15" s="17">
        <v>8.3333333333333339</v>
      </c>
      <c r="I15" s="17">
        <v>13.888888888888889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 t="s">
        <v>8</v>
      </c>
      <c r="P15" s="18" t="s">
        <v>108</v>
      </c>
    </row>
    <row r="16" spans="1:16" x14ac:dyDescent="0.3">
      <c r="A16" s="12" t="s">
        <v>1106</v>
      </c>
      <c r="B16" s="22" t="s">
        <v>224</v>
      </c>
      <c r="C16" s="17">
        <v>1496.9444444444441</v>
      </c>
      <c r="D16" s="17">
        <v>1196.9444444444443</v>
      </c>
      <c r="E16" s="17">
        <v>1316.9444444444443</v>
      </c>
      <c r="F16" s="17">
        <v>1186.1111111111111</v>
      </c>
      <c r="G16" s="17">
        <v>1251.1111111111111</v>
      </c>
      <c r="H16" s="17">
        <v>1256.1111111111111</v>
      </c>
      <c r="I16" s="17">
        <v>1405.5555555555554</v>
      </c>
      <c r="J16" s="17">
        <v>1383.3333333333333</v>
      </c>
      <c r="K16" s="17">
        <v>1416.6666666666667</v>
      </c>
      <c r="L16" s="17">
        <v>1194.4444444444443</v>
      </c>
      <c r="M16" s="17">
        <v>1277.7777777777778</v>
      </c>
      <c r="N16" s="17">
        <v>1354.4444444444443</v>
      </c>
      <c r="O16" s="18" t="s">
        <v>8</v>
      </c>
      <c r="P16" s="18" t="s">
        <v>108</v>
      </c>
    </row>
    <row r="17" spans="1:16" x14ac:dyDescent="0.3">
      <c r="A17" s="12" t="s">
        <v>1107</v>
      </c>
      <c r="B17" s="22" t="s">
        <v>224</v>
      </c>
      <c r="C17" s="17">
        <v>2511.1111111111109</v>
      </c>
      <c r="D17" s="17">
        <v>2378.0555555555557</v>
      </c>
      <c r="E17" s="17">
        <v>2536.1111111111109</v>
      </c>
      <c r="F17" s="17">
        <v>2530</v>
      </c>
      <c r="G17" s="17">
        <v>2795</v>
      </c>
      <c r="H17" s="17">
        <v>2813.0555555555557</v>
      </c>
      <c r="I17" s="17">
        <v>2971.1111111111109</v>
      </c>
      <c r="J17" s="17">
        <v>2715.5555555555557</v>
      </c>
      <c r="K17" s="17">
        <v>2933.0555555555557</v>
      </c>
      <c r="L17" s="17">
        <v>2921.1111111111109</v>
      </c>
      <c r="M17" s="17">
        <v>2846.1111111111109</v>
      </c>
      <c r="N17" s="17">
        <v>3256.1111111111104</v>
      </c>
      <c r="O17" s="18" t="s">
        <v>8</v>
      </c>
      <c r="P17" s="18" t="s">
        <v>108</v>
      </c>
    </row>
    <row r="18" spans="1:16" x14ac:dyDescent="0.3">
      <c r="A18" s="12" t="s">
        <v>1108</v>
      </c>
      <c r="B18" s="22" t="s">
        <v>224</v>
      </c>
      <c r="C18" s="17">
        <v>213.05555555555554</v>
      </c>
      <c r="D18" s="17">
        <v>228.88888888888889</v>
      </c>
      <c r="E18" s="17">
        <v>138.61111111111111</v>
      </c>
      <c r="F18" s="17">
        <v>143.33333333333334</v>
      </c>
      <c r="G18" s="17">
        <v>123.33333333333331</v>
      </c>
      <c r="H18" s="17">
        <v>134.44444444444443</v>
      </c>
      <c r="I18" s="17">
        <v>175.27777777777774</v>
      </c>
      <c r="J18" s="17">
        <v>153.88888888888889</v>
      </c>
      <c r="K18" s="17">
        <v>135.83333333333334</v>
      </c>
      <c r="L18" s="17">
        <v>156.9444444444444</v>
      </c>
      <c r="M18" s="17">
        <v>178.61111111111111</v>
      </c>
      <c r="N18" s="17">
        <v>100</v>
      </c>
      <c r="O18" s="18" t="s">
        <v>8</v>
      </c>
      <c r="P18" s="18" t="s">
        <v>108</v>
      </c>
    </row>
    <row r="19" spans="1:16" x14ac:dyDescent="0.3">
      <c r="A19" s="47" t="s">
        <v>1109</v>
      </c>
      <c r="B19" s="195" t="s">
        <v>224</v>
      </c>
      <c r="C19" s="185">
        <v>4933.8888888888887</v>
      </c>
      <c r="D19" s="185">
        <v>4677.2222222222217</v>
      </c>
      <c r="E19" s="185">
        <v>4925.5555555555557</v>
      </c>
      <c r="F19" s="185">
        <v>4860.2777777777774</v>
      </c>
      <c r="G19" s="185">
        <v>5322.2222222222217</v>
      </c>
      <c r="H19" s="185">
        <v>5412.5</v>
      </c>
      <c r="I19" s="185">
        <v>5794.166666666667</v>
      </c>
      <c r="J19" s="185">
        <v>5451.1111111111113</v>
      </c>
      <c r="K19" s="185">
        <v>5702.5</v>
      </c>
      <c r="L19" s="185">
        <v>5435</v>
      </c>
      <c r="M19" s="185">
        <v>5483.8888888888887</v>
      </c>
      <c r="N19" s="185">
        <v>5908.6111111111113</v>
      </c>
      <c r="O19" s="11" t="s">
        <v>8</v>
      </c>
      <c r="P19" s="18" t="s">
        <v>108</v>
      </c>
    </row>
    <row r="20" spans="1:16" ht="15.6" x14ac:dyDescent="0.3">
      <c r="A20" s="181" t="s">
        <v>102</v>
      </c>
      <c r="B20" s="99" t="s">
        <v>103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6" x14ac:dyDescent="0.3">
      <c r="A21" s="304"/>
      <c r="B21" s="9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6" x14ac:dyDescent="0.3">
      <c r="A22" s="303" t="s">
        <v>1158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3">
      <c r="A23" s="12" t="s">
        <v>1159</v>
      </c>
      <c r="B23" s="22" t="s">
        <v>224</v>
      </c>
      <c r="C23" s="299"/>
      <c r="D23" s="307">
        <v>5</v>
      </c>
      <c r="E23" s="307">
        <v>5</v>
      </c>
      <c r="F23" s="307">
        <v>3</v>
      </c>
      <c r="G23" s="307">
        <v>3</v>
      </c>
      <c r="H23" s="307">
        <v>3</v>
      </c>
      <c r="I23" s="307">
        <v>4</v>
      </c>
      <c r="J23" s="307">
        <v>6</v>
      </c>
      <c r="K23" s="307">
        <v>4</v>
      </c>
      <c r="L23" s="307">
        <v>3</v>
      </c>
      <c r="M23" s="307">
        <v>2</v>
      </c>
      <c r="N23" s="307">
        <v>2</v>
      </c>
      <c r="O23" s="298" t="s">
        <v>8</v>
      </c>
      <c r="P23" s="298" t="s">
        <v>1160</v>
      </c>
    </row>
    <row r="24" spans="1:16" x14ac:dyDescent="0.3">
      <c r="A24" s="300" t="s">
        <v>1161</v>
      </c>
      <c r="B24" s="22" t="s">
        <v>224</v>
      </c>
      <c r="C24" s="299"/>
      <c r="D24" s="307">
        <v>4</v>
      </c>
      <c r="E24" s="307">
        <v>7</v>
      </c>
      <c r="F24" s="307">
        <v>12</v>
      </c>
      <c r="G24" s="307">
        <v>22</v>
      </c>
      <c r="H24" s="307">
        <v>21</v>
      </c>
      <c r="I24" s="307">
        <v>14</v>
      </c>
      <c r="J24" s="307">
        <v>20</v>
      </c>
      <c r="K24" s="307">
        <v>15</v>
      </c>
      <c r="L24" s="307">
        <v>26</v>
      </c>
      <c r="M24" s="307">
        <v>32</v>
      </c>
      <c r="N24" s="307">
        <v>24</v>
      </c>
      <c r="O24" s="298" t="s">
        <v>8</v>
      </c>
      <c r="P24" s="298" t="s">
        <v>1160</v>
      </c>
    </row>
    <row r="25" spans="1:16" x14ac:dyDescent="0.3">
      <c r="A25" s="301" t="s">
        <v>896</v>
      </c>
      <c r="B25" s="22" t="s">
        <v>224</v>
      </c>
      <c r="C25" s="299"/>
      <c r="D25" s="307">
        <v>26</v>
      </c>
      <c r="E25" s="307">
        <v>31</v>
      </c>
      <c r="F25" s="307">
        <v>21</v>
      </c>
      <c r="G25" s="307">
        <v>29</v>
      </c>
      <c r="H25" s="307">
        <v>28</v>
      </c>
      <c r="I25" s="307">
        <v>29</v>
      </c>
      <c r="J25" s="307">
        <v>23</v>
      </c>
      <c r="K25" s="307">
        <v>21</v>
      </c>
      <c r="L25" s="307">
        <v>23</v>
      </c>
      <c r="M25" s="307">
        <v>16</v>
      </c>
      <c r="N25" s="307">
        <v>17</v>
      </c>
      <c r="O25" s="298" t="s">
        <v>8</v>
      </c>
      <c r="P25" s="298" t="s">
        <v>1160</v>
      </c>
    </row>
    <row r="26" spans="1:16" x14ac:dyDescent="0.3">
      <c r="A26" s="300" t="s">
        <v>1162</v>
      </c>
      <c r="B26" s="22" t="s">
        <v>224</v>
      </c>
      <c r="C26" s="299"/>
      <c r="D26" s="307">
        <v>112</v>
      </c>
      <c r="E26" s="307">
        <v>142</v>
      </c>
      <c r="F26" s="307">
        <v>163</v>
      </c>
      <c r="G26" s="307">
        <v>154</v>
      </c>
      <c r="H26" s="307">
        <v>130</v>
      </c>
      <c r="I26" s="307">
        <v>130</v>
      </c>
      <c r="J26" s="307">
        <v>160</v>
      </c>
      <c r="K26" s="307">
        <v>188</v>
      </c>
      <c r="L26" s="307">
        <v>185</v>
      </c>
      <c r="M26" s="307">
        <v>206</v>
      </c>
      <c r="N26" s="307">
        <v>324</v>
      </c>
      <c r="O26" s="298" t="s">
        <v>8</v>
      </c>
      <c r="P26" s="298" t="s">
        <v>1160</v>
      </c>
    </row>
    <row r="27" spans="1:16" x14ac:dyDescent="0.3">
      <c r="A27" s="301" t="s">
        <v>1163</v>
      </c>
      <c r="B27" s="22" t="s">
        <v>224</v>
      </c>
      <c r="C27" s="299"/>
      <c r="D27" s="307">
        <v>15</v>
      </c>
      <c r="E27" s="307">
        <v>20</v>
      </c>
      <c r="F27" s="307">
        <v>17</v>
      </c>
      <c r="G27" s="307">
        <v>23</v>
      </c>
      <c r="H27" s="307">
        <v>17</v>
      </c>
      <c r="I27" s="307">
        <v>16</v>
      </c>
      <c r="J27" s="307">
        <v>31</v>
      </c>
      <c r="K27" s="307">
        <v>24</v>
      </c>
      <c r="L27" s="307">
        <v>19</v>
      </c>
      <c r="M27" s="307">
        <v>16</v>
      </c>
      <c r="N27" s="307">
        <v>15</v>
      </c>
      <c r="O27" s="298" t="s">
        <v>8</v>
      </c>
      <c r="P27" s="298" t="s">
        <v>1160</v>
      </c>
    </row>
    <row r="28" spans="1:16" x14ac:dyDescent="0.3">
      <c r="A28" s="302" t="s">
        <v>1164</v>
      </c>
      <c r="B28" s="195" t="s">
        <v>224</v>
      </c>
      <c r="C28" s="299"/>
      <c r="D28" s="309">
        <v>161</v>
      </c>
      <c r="E28" s="309">
        <v>204</v>
      </c>
      <c r="F28" s="309">
        <v>215</v>
      </c>
      <c r="G28" s="309">
        <v>231</v>
      </c>
      <c r="H28" s="309">
        <v>199</v>
      </c>
      <c r="I28" s="309">
        <v>193</v>
      </c>
      <c r="J28" s="309">
        <v>240</v>
      </c>
      <c r="K28" s="309">
        <v>252</v>
      </c>
      <c r="L28" s="309">
        <v>256</v>
      </c>
      <c r="M28" s="309">
        <v>271</v>
      </c>
      <c r="N28" s="309">
        <v>381</v>
      </c>
      <c r="O28" s="298" t="s">
        <v>8</v>
      </c>
      <c r="P28" s="11"/>
    </row>
    <row r="29" spans="1:16" x14ac:dyDescent="0.3">
      <c r="A29" s="302"/>
      <c r="B29" s="195"/>
      <c r="C29" s="1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298"/>
      <c r="P29" s="11"/>
    </row>
    <row r="30" spans="1:16" ht="15.6" x14ac:dyDescent="0.3">
      <c r="A30" s="305" t="s">
        <v>1165</v>
      </c>
      <c r="B30" s="195"/>
      <c r="C30" s="1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298"/>
      <c r="P30" s="11"/>
    </row>
    <row r="31" spans="1:16" x14ac:dyDescent="0.3">
      <c r="A31" s="301" t="s">
        <v>541</v>
      </c>
      <c r="B31" s="22" t="s">
        <v>224</v>
      </c>
      <c r="C31" s="308"/>
      <c r="D31" s="307">
        <v>4</v>
      </c>
      <c r="E31" s="307">
        <v>3</v>
      </c>
      <c r="F31" s="307">
        <v>2</v>
      </c>
      <c r="G31" s="307">
        <v>2</v>
      </c>
      <c r="H31" s="307">
        <v>2</v>
      </c>
      <c r="I31" s="307">
        <v>3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298" t="s">
        <v>8</v>
      </c>
      <c r="P31" s="298" t="s">
        <v>1160</v>
      </c>
    </row>
    <row r="32" spans="1:16" x14ac:dyDescent="0.3">
      <c r="A32" s="301" t="s">
        <v>1166</v>
      </c>
      <c r="B32" s="22" t="s">
        <v>224</v>
      </c>
      <c r="C32" s="308"/>
      <c r="D32" s="307">
        <v>245</v>
      </c>
      <c r="E32" s="307">
        <v>247</v>
      </c>
      <c r="F32" s="307">
        <v>222</v>
      </c>
      <c r="G32" s="307">
        <v>277</v>
      </c>
      <c r="H32" s="307">
        <v>298</v>
      </c>
      <c r="I32" s="307">
        <v>323</v>
      </c>
      <c r="J32" s="307">
        <v>428</v>
      </c>
      <c r="K32" s="307">
        <v>396</v>
      </c>
      <c r="L32" s="307">
        <v>395</v>
      </c>
      <c r="M32" s="307">
        <v>337</v>
      </c>
      <c r="N32" s="307">
        <v>319</v>
      </c>
      <c r="O32" s="298" t="s">
        <v>8</v>
      </c>
      <c r="P32" s="298" t="s">
        <v>1160</v>
      </c>
    </row>
    <row r="33" spans="1:16" x14ac:dyDescent="0.3">
      <c r="A33" s="12" t="s">
        <v>1159</v>
      </c>
      <c r="B33" s="22" t="s">
        <v>224</v>
      </c>
      <c r="C33" s="308"/>
      <c r="D33" s="307">
        <v>19</v>
      </c>
      <c r="E33" s="307">
        <v>19</v>
      </c>
      <c r="F33" s="307">
        <v>16</v>
      </c>
      <c r="G33" s="307">
        <v>14</v>
      </c>
      <c r="H33" s="307">
        <v>6</v>
      </c>
      <c r="I33" s="307">
        <v>7</v>
      </c>
      <c r="J33" s="307">
        <v>8</v>
      </c>
      <c r="K33" s="307">
        <v>13</v>
      </c>
      <c r="L33" s="307">
        <v>5</v>
      </c>
      <c r="M33" s="307">
        <v>9</v>
      </c>
      <c r="N33" s="307">
        <v>6</v>
      </c>
      <c r="O33" s="298" t="s">
        <v>8</v>
      </c>
      <c r="P33" s="298" t="s">
        <v>1160</v>
      </c>
    </row>
    <row r="34" spans="1:16" x14ac:dyDescent="0.3">
      <c r="A34" s="301" t="s">
        <v>1167</v>
      </c>
      <c r="B34" s="22" t="s">
        <v>224</v>
      </c>
      <c r="C34" s="308"/>
      <c r="D34" s="307">
        <v>38</v>
      </c>
      <c r="E34" s="307">
        <v>38</v>
      </c>
      <c r="F34" s="307">
        <v>32</v>
      </c>
      <c r="G34" s="307">
        <v>36</v>
      </c>
      <c r="H34" s="307">
        <v>36</v>
      </c>
      <c r="I34" s="307">
        <v>39</v>
      </c>
      <c r="J34" s="307">
        <v>29</v>
      </c>
      <c r="K34" s="307">
        <v>28</v>
      </c>
      <c r="L34" s="307">
        <v>16</v>
      </c>
      <c r="M34" s="307">
        <v>22</v>
      </c>
      <c r="N34" s="307">
        <v>21</v>
      </c>
      <c r="O34" s="298" t="s">
        <v>8</v>
      </c>
      <c r="P34" s="298" t="s">
        <v>1160</v>
      </c>
    </row>
    <row r="35" spans="1:16" x14ac:dyDescent="0.3">
      <c r="A35" s="300" t="s">
        <v>1162</v>
      </c>
      <c r="B35" s="22" t="s">
        <v>224</v>
      </c>
      <c r="C35" s="308"/>
      <c r="D35" s="307">
        <v>105</v>
      </c>
      <c r="E35" s="307">
        <v>336</v>
      </c>
      <c r="F35" s="307">
        <v>350</v>
      </c>
      <c r="G35" s="307">
        <v>321</v>
      </c>
      <c r="H35" s="307">
        <v>272</v>
      </c>
      <c r="I35" s="307">
        <v>291</v>
      </c>
      <c r="J35" s="307">
        <v>269</v>
      </c>
      <c r="K35" s="307">
        <v>399</v>
      </c>
      <c r="L35" s="307">
        <v>427</v>
      </c>
      <c r="M35" s="307">
        <v>378</v>
      </c>
      <c r="N35" s="307">
        <v>685</v>
      </c>
      <c r="O35" s="298" t="s">
        <v>8</v>
      </c>
      <c r="P35" s="298" t="s">
        <v>1160</v>
      </c>
    </row>
    <row r="36" spans="1:16" x14ac:dyDescent="0.3">
      <c r="A36" s="301" t="s">
        <v>1163</v>
      </c>
      <c r="B36" s="22" t="s">
        <v>224</v>
      </c>
      <c r="C36" s="308"/>
      <c r="D36" s="307">
        <v>165</v>
      </c>
      <c r="E36" s="307">
        <v>474</v>
      </c>
      <c r="F36" s="307">
        <v>488</v>
      </c>
      <c r="G36" s="307">
        <v>370</v>
      </c>
      <c r="H36" s="307">
        <v>338</v>
      </c>
      <c r="I36" s="307">
        <v>389</v>
      </c>
      <c r="J36" s="307">
        <v>674</v>
      </c>
      <c r="K36" s="307">
        <v>584</v>
      </c>
      <c r="L36" s="307">
        <v>561</v>
      </c>
      <c r="M36" s="307">
        <v>473</v>
      </c>
      <c r="N36" s="307">
        <v>741</v>
      </c>
      <c r="O36" s="298" t="s">
        <v>8</v>
      </c>
      <c r="P36" s="298" t="s">
        <v>1160</v>
      </c>
    </row>
    <row r="37" spans="1:16" x14ac:dyDescent="0.3">
      <c r="A37" s="306" t="s">
        <v>1168</v>
      </c>
      <c r="B37" s="195" t="s">
        <v>224</v>
      </c>
      <c r="C37" s="308"/>
      <c r="D37" s="309">
        <v>577</v>
      </c>
      <c r="E37" s="309">
        <v>1117</v>
      </c>
      <c r="F37" s="309">
        <v>1111</v>
      </c>
      <c r="G37" s="309">
        <v>1021</v>
      </c>
      <c r="H37" s="309">
        <v>951</v>
      </c>
      <c r="I37" s="309">
        <v>1051</v>
      </c>
      <c r="J37" s="309">
        <v>1409</v>
      </c>
      <c r="K37" s="309">
        <v>1420</v>
      </c>
      <c r="L37" s="309">
        <v>1403</v>
      </c>
      <c r="M37" s="309">
        <v>1219</v>
      </c>
      <c r="N37" s="309">
        <v>1772</v>
      </c>
      <c r="O37" s="11" t="s">
        <v>8</v>
      </c>
      <c r="P37" s="11"/>
    </row>
    <row r="38" spans="1:16" ht="15.6" x14ac:dyDescent="0.3">
      <c r="A38" s="30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6" x14ac:dyDescent="0.3">
      <c r="A39" s="8" t="s">
        <v>1110</v>
      </c>
      <c r="B39" s="52"/>
      <c r="C39" s="17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3">
      <c r="A40" s="11"/>
      <c r="B40" s="52"/>
      <c r="C40" s="17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6" x14ac:dyDescent="0.3">
      <c r="A41" s="12" t="s">
        <v>1111</v>
      </c>
      <c r="B41" s="191">
        <v>1</v>
      </c>
      <c r="C41" s="163">
        <v>0.63159999999999994</v>
      </c>
      <c r="D41" s="163">
        <v>0.62809999999999999</v>
      </c>
      <c r="E41" s="163">
        <v>0.62460000000000004</v>
      </c>
      <c r="F41" s="163">
        <v>0.62109999999999999</v>
      </c>
      <c r="G41" s="163">
        <v>0.61759999999999993</v>
      </c>
      <c r="H41" s="163">
        <v>0.61409999999999998</v>
      </c>
      <c r="I41" s="163">
        <v>0.61060000000000003</v>
      </c>
      <c r="J41" s="163">
        <v>0.60709999999999997</v>
      </c>
      <c r="K41" s="163">
        <v>0.60360000000000003</v>
      </c>
      <c r="L41" s="163">
        <v>0.60009999999999997</v>
      </c>
      <c r="M41" s="163">
        <v>0.59660000000000002</v>
      </c>
      <c r="N41" s="163">
        <v>0</v>
      </c>
      <c r="O41" s="18" t="s">
        <v>42</v>
      </c>
      <c r="P41" s="175"/>
    </row>
    <row r="42" spans="1:16" ht="15.6" x14ac:dyDescent="0.3">
      <c r="A42" s="12" t="s">
        <v>1112</v>
      </c>
      <c r="B42" s="191">
        <v>1</v>
      </c>
      <c r="C42" s="163">
        <v>0.34359000000000006</v>
      </c>
      <c r="D42" s="163">
        <v>0.34594900000000006</v>
      </c>
      <c r="E42" s="163">
        <v>0.34830800000000006</v>
      </c>
      <c r="F42" s="163">
        <v>0.35066700000000006</v>
      </c>
      <c r="G42" s="163">
        <v>0.35302600000000012</v>
      </c>
      <c r="H42" s="163">
        <v>0.35538500000000006</v>
      </c>
      <c r="I42" s="163">
        <v>0.35774400000000012</v>
      </c>
      <c r="J42" s="163">
        <v>0.36010300000000017</v>
      </c>
      <c r="K42" s="163">
        <v>0.36999999999999994</v>
      </c>
      <c r="L42" s="163">
        <v>0.37</v>
      </c>
      <c r="M42" s="163">
        <v>0.36499999999999999</v>
      </c>
      <c r="N42" s="163">
        <v>0</v>
      </c>
      <c r="O42" s="18" t="s">
        <v>42</v>
      </c>
      <c r="P42" s="175"/>
    </row>
    <row r="43" spans="1:16" ht="15.6" x14ac:dyDescent="0.3">
      <c r="A43" s="12"/>
      <c r="B43" s="6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75"/>
    </row>
    <row r="44" spans="1:16" ht="18" x14ac:dyDescent="0.35">
      <c r="A44" s="48" t="s">
        <v>1113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3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3">
      <c r="A46" s="355" t="s">
        <v>1169</v>
      </c>
      <c r="B46" s="22" t="s">
        <v>1018</v>
      </c>
      <c r="C46" s="329"/>
      <c r="D46" s="307">
        <v>2036115</v>
      </c>
      <c r="E46" s="307">
        <v>3050691</v>
      </c>
      <c r="F46" s="307">
        <v>2308904</v>
      </c>
      <c r="G46" s="307">
        <v>1756322</v>
      </c>
      <c r="H46" s="307">
        <v>2215304</v>
      </c>
      <c r="I46" s="307">
        <v>1683634</v>
      </c>
      <c r="J46" s="307">
        <v>1768317</v>
      </c>
      <c r="K46" s="307">
        <v>2228108</v>
      </c>
      <c r="L46" s="307">
        <v>2216229</v>
      </c>
      <c r="M46" s="307">
        <v>2970253</v>
      </c>
      <c r="N46" s="307">
        <v>3177694</v>
      </c>
      <c r="O46" s="23" t="s">
        <v>51</v>
      </c>
      <c r="P46" s="239"/>
    </row>
    <row r="47" spans="1:16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.6" x14ac:dyDescent="0.3">
      <c r="A48" s="8" t="s">
        <v>1116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3">
      <c r="A50" s="12" t="s">
        <v>1117</v>
      </c>
      <c r="B50" s="22" t="s">
        <v>1115</v>
      </c>
      <c r="C50" s="155">
        <v>0.4254</v>
      </c>
      <c r="D50" s="155">
        <v>0.32630000000000003</v>
      </c>
      <c r="E50" s="155">
        <v>0.47360000000000002</v>
      </c>
      <c r="F50" s="155">
        <v>0.60739999999999994</v>
      </c>
      <c r="G50" s="155">
        <v>0.52889999999999993</v>
      </c>
      <c r="H50" s="155">
        <v>0.62679999999999991</v>
      </c>
      <c r="I50" s="155">
        <v>0.66170000000000007</v>
      </c>
      <c r="J50" s="155">
        <v>0.80359999999999998</v>
      </c>
      <c r="K50" s="155">
        <v>1.0709000000000002</v>
      </c>
      <c r="L50" s="155">
        <v>0.67979999999999996</v>
      </c>
      <c r="M50" s="155">
        <v>0.92720000000000002</v>
      </c>
      <c r="N50" s="155">
        <v>0.63825599999999993</v>
      </c>
      <c r="O50" s="18" t="s">
        <v>8</v>
      </c>
      <c r="P50" s="18" t="s">
        <v>1118</v>
      </c>
    </row>
    <row r="51" spans="1:16" ht="15.6" x14ac:dyDescent="0.3">
      <c r="A51" s="12" t="s">
        <v>1119</v>
      </c>
      <c r="B51" s="22" t="s">
        <v>1115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" t="s">
        <v>8</v>
      </c>
      <c r="P51" s="178"/>
    </row>
    <row r="52" spans="1:16" x14ac:dyDescent="0.3">
      <c r="A52" s="12" t="s">
        <v>1120</v>
      </c>
      <c r="B52" s="22" t="s">
        <v>1115</v>
      </c>
      <c r="C52" s="183">
        <v>5.8200000000000002E-2</v>
      </c>
      <c r="D52" s="183">
        <v>1.06E-2</v>
      </c>
      <c r="E52" s="183">
        <v>2.69E-2</v>
      </c>
      <c r="F52" s="183">
        <v>7.6499999999999999E-2</v>
      </c>
      <c r="G52" s="183">
        <v>9.4999999999999998E-3</v>
      </c>
      <c r="H52" s="183">
        <v>6.3799999999999996E-2</v>
      </c>
      <c r="I52" s="183">
        <v>9.7299999999999998E-2</v>
      </c>
      <c r="J52" s="183">
        <v>0.13350000000000001</v>
      </c>
      <c r="K52" s="183">
        <v>0.15440000000000001</v>
      </c>
      <c r="L52" s="183">
        <v>5.9799999999999999E-2</v>
      </c>
      <c r="M52" s="183">
        <v>0.1043</v>
      </c>
      <c r="N52" s="183">
        <v>5.4106000000000001E-2</v>
      </c>
      <c r="O52" s="18" t="s">
        <v>8</v>
      </c>
      <c r="P52" s="18" t="s">
        <v>1118</v>
      </c>
    </row>
    <row r="53" spans="1:16" x14ac:dyDescent="0.3">
      <c r="A53" s="12" t="s">
        <v>1121</v>
      </c>
      <c r="B53" s="22" t="s">
        <v>1115</v>
      </c>
      <c r="C53" s="15">
        <v>6.0000000000000001E-3</v>
      </c>
      <c r="D53" s="15">
        <v>1.2999999999999999E-2</v>
      </c>
      <c r="E53" s="15">
        <v>2.5700000000000001E-2</v>
      </c>
      <c r="F53" s="15">
        <v>1.8699999999999998E-2</v>
      </c>
      <c r="G53" s="15">
        <v>2.8999999999999998E-3</v>
      </c>
      <c r="H53" s="15">
        <v>6.4000000000000003E-3</v>
      </c>
      <c r="I53" s="15">
        <v>1E-4</v>
      </c>
      <c r="J53" s="15">
        <v>2.86E-2</v>
      </c>
      <c r="K53" s="15">
        <v>2.7699999999999999E-2</v>
      </c>
      <c r="L53" s="15">
        <v>1.54E-2</v>
      </c>
      <c r="M53" s="15">
        <v>2.7899999999999998E-2</v>
      </c>
      <c r="N53" s="15">
        <v>3.7728999999999999E-2</v>
      </c>
      <c r="O53" s="18" t="s">
        <v>8</v>
      </c>
      <c r="P53" s="18" t="s">
        <v>1118</v>
      </c>
    </row>
    <row r="54" spans="1:16" x14ac:dyDescent="0.3">
      <c r="A54" s="12" t="s">
        <v>1122</v>
      </c>
      <c r="B54" s="22" t="s">
        <v>1115</v>
      </c>
      <c r="C54" s="155">
        <v>0.11</v>
      </c>
      <c r="D54" s="155">
        <v>3.6999999999999998E-2</v>
      </c>
      <c r="E54" s="155">
        <v>7.0499999999999993E-2</v>
      </c>
      <c r="F54" s="155">
        <v>5.2299999999999999E-2</v>
      </c>
      <c r="G54" s="155">
        <v>4.8100000000000004E-2</v>
      </c>
      <c r="H54" s="155">
        <v>4.4999999999999998E-2</v>
      </c>
      <c r="I54" s="155">
        <v>0.12529999999999999</v>
      </c>
      <c r="J54" s="155">
        <v>7.6599999999999988E-2</v>
      </c>
      <c r="K54" s="155">
        <v>0.1714</v>
      </c>
      <c r="L54" s="155">
        <v>8.8400000000000006E-2</v>
      </c>
      <c r="M54" s="155">
        <v>0.2137</v>
      </c>
      <c r="N54" s="15">
        <v>5.9913000000000001E-2</v>
      </c>
      <c r="O54" s="18" t="s">
        <v>8</v>
      </c>
      <c r="P54" s="18" t="s">
        <v>1118</v>
      </c>
    </row>
    <row r="55" spans="1:16" x14ac:dyDescent="0.3">
      <c r="A55" s="12" t="s">
        <v>1123</v>
      </c>
      <c r="B55" s="22" t="s">
        <v>1115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84">
        <v>9.9480000000000002E-3</v>
      </c>
      <c r="O55" s="18" t="s">
        <v>8</v>
      </c>
      <c r="P55" s="18" t="s">
        <v>1118</v>
      </c>
    </row>
    <row r="56" spans="1:16" x14ac:dyDescent="0.3">
      <c r="A56" s="12" t="s">
        <v>1124</v>
      </c>
      <c r="B56" s="22" t="s">
        <v>1115</v>
      </c>
      <c r="C56" s="183">
        <v>3.3700000000000001E-2</v>
      </c>
      <c r="D56" s="183">
        <v>1.9600000000000003E-2</v>
      </c>
      <c r="E56" s="183">
        <v>2.9100000000000001E-2</v>
      </c>
      <c r="F56" s="183">
        <v>2.3899999999999998E-2</v>
      </c>
      <c r="G56" s="183">
        <v>2.4199999999999999E-2</v>
      </c>
      <c r="H56" s="183">
        <v>2.93E-2</v>
      </c>
      <c r="I56" s="183">
        <v>1.66E-2</v>
      </c>
      <c r="J56" s="183">
        <v>9.1999999999999998E-3</v>
      </c>
      <c r="K56" s="183">
        <v>2.0199999999999999E-2</v>
      </c>
      <c r="L56" s="183">
        <v>5.5799999999999995E-2</v>
      </c>
      <c r="M56" s="183">
        <v>6.8500000000000005E-2</v>
      </c>
      <c r="N56" s="15">
        <v>2.7723000000000001E-2</v>
      </c>
      <c r="O56" s="18" t="s">
        <v>8</v>
      </c>
      <c r="P56" s="18" t="s">
        <v>1118</v>
      </c>
    </row>
    <row r="57" spans="1:16" x14ac:dyDescent="0.3">
      <c r="A57" s="12" t="s">
        <v>1125</v>
      </c>
      <c r="B57" s="22" t="s">
        <v>1115</v>
      </c>
      <c r="C57" s="15">
        <v>0.21749999999999997</v>
      </c>
      <c r="D57" s="15">
        <v>0.24609999999999999</v>
      </c>
      <c r="E57" s="15">
        <v>0.32140000000000002</v>
      </c>
      <c r="F57" s="15">
        <v>0.43600000000000005</v>
      </c>
      <c r="G57" s="15">
        <v>0.44419999999999998</v>
      </c>
      <c r="H57" s="15">
        <v>0.48230000000000001</v>
      </c>
      <c r="I57" s="15">
        <v>0.4224</v>
      </c>
      <c r="J57" s="15">
        <v>0.55569999999999997</v>
      </c>
      <c r="K57" s="15">
        <v>0.69720000000000004</v>
      </c>
      <c r="L57" s="15">
        <v>0.46040000000000003</v>
      </c>
      <c r="M57" s="15">
        <v>0.51290000000000002</v>
      </c>
      <c r="N57" s="15">
        <v>0.44883699999999999</v>
      </c>
      <c r="O57" s="18" t="s">
        <v>8</v>
      </c>
      <c r="P57" s="18" t="s">
        <v>1118</v>
      </c>
    </row>
    <row r="58" spans="1:16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5.6" x14ac:dyDescent="0.3">
      <c r="A59" s="8" t="s">
        <v>1126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3">
      <c r="A61" s="164" t="s">
        <v>1126</v>
      </c>
      <c r="B61" s="22" t="s">
        <v>84</v>
      </c>
      <c r="C61" s="17">
        <v>367.6</v>
      </c>
      <c r="D61" s="17">
        <v>377.9</v>
      </c>
      <c r="E61" s="17">
        <v>389.80000000000007</v>
      </c>
      <c r="F61" s="17">
        <v>401.3</v>
      </c>
      <c r="G61" s="17">
        <v>410.5</v>
      </c>
      <c r="H61" s="17">
        <v>415.5</v>
      </c>
      <c r="I61" s="17">
        <v>424.6</v>
      </c>
      <c r="J61" s="17">
        <v>432.3</v>
      </c>
      <c r="K61" s="17">
        <v>440.30000000000007</v>
      </c>
      <c r="L61" s="17">
        <v>453.80000000000007</v>
      </c>
      <c r="M61" s="17">
        <v>441.3</v>
      </c>
      <c r="N61" s="17">
        <v>441.6</v>
      </c>
      <c r="O61" s="18" t="s">
        <v>8</v>
      </c>
      <c r="P61" s="18" t="s">
        <v>1127</v>
      </c>
    </row>
    <row r="62" spans="1:16" x14ac:dyDescent="0.3">
      <c r="A62" s="12" t="s">
        <v>1128</v>
      </c>
      <c r="B62" s="22" t="s">
        <v>84</v>
      </c>
      <c r="C62" s="17">
        <v>142.4</v>
      </c>
      <c r="D62" s="17">
        <v>151.9</v>
      </c>
      <c r="E62" s="17">
        <v>158.60000000000002</v>
      </c>
      <c r="F62" s="17">
        <v>163.1</v>
      </c>
      <c r="G62" s="17">
        <v>169.5</v>
      </c>
      <c r="H62" s="17">
        <v>164.6</v>
      </c>
      <c r="I62" s="17">
        <v>172</v>
      </c>
      <c r="J62" s="17">
        <v>180.5</v>
      </c>
      <c r="K62" s="17">
        <v>180.3</v>
      </c>
      <c r="L62" s="17">
        <v>187.3</v>
      </c>
      <c r="M62" s="17">
        <v>182.8</v>
      </c>
      <c r="N62" s="17">
        <v>185.2</v>
      </c>
      <c r="O62" s="18" t="s">
        <v>8</v>
      </c>
      <c r="P62" s="18" t="s">
        <v>1127</v>
      </c>
    </row>
    <row r="63" spans="1:16" x14ac:dyDescent="0.3">
      <c r="A63" s="12" t="s">
        <v>1129</v>
      </c>
      <c r="B63" s="22" t="s">
        <v>84</v>
      </c>
      <c r="C63" s="17">
        <v>40.299999999999997</v>
      </c>
      <c r="D63" s="17">
        <v>39.299999999999997</v>
      </c>
      <c r="E63" s="17">
        <v>40.1</v>
      </c>
      <c r="F63" s="17">
        <v>43</v>
      </c>
      <c r="G63" s="17">
        <v>45.1</v>
      </c>
      <c r="H63" s="17">
        <v>42.4</v>
      </c>
      <c r="I63" s="17">
        <v>39.700000000000003</v>
      </c>
      <c r="J63" s="17">
        <v>38.700000000000003</v>
      </c>
      <c r="K63" s="17">
        <v>38</v>
      </c>
      <c r="L63" s="17">
        <v>40.700000000000003</v>
      </c>
      <c r="M63" s="17">
        <v>44</v>
      </c>
      <c r="N63" s="17">
        <v>43.1</v>
      </c>
      <c r="O63" s="18" t="s">
        <v>8</v>
      </c>
      <c r="P63" s="18" t="s">
        <v>1127</v>
      </c>
    </row>
    <row r="64" spans="1:16" x14ac:dyDescent="0.3">
      <c r="A64" s="12" t="s">
        <v>1130</v>
      </c>
      <c r="B64" s="22" t="s">
        <v>84</v>
      </c>
      <c r="C64" s="17">
        <v>102.10000000000001</v>
      </c>
      <c r="D64" s="17">
        <v>112.60000000000001</v>
      </c>
      <c r="E64" s="17">
        <v>118.50000000000001</v>
      </c>
      <c r="F64" s="17">
        <v>120.1</v>
      </c>
      <c r="G64" s="17">
        <v>124.4</v>
      </c>
      <c r="H64" s="17">
        <v>122.2</v>
      </c>
      <c r="I64" s="17">
        <v>132.30000000000001</v>
      </c>
      <c r="J64" s="17">
        <v>141.80000000000001</v>
      </c>
      <c r="K64" s="17">
        <v>142.30000000000001</v>
      </c>
      <c r="L64" s="17">
        <v>146.6</v>
      </c>
      <c r="M64" s="17">
        <v>138.80000000000001</v>
      </c>
      <c r="N64" s="17">
        <v>142.1</v>
      </c>
      <c r="O64" s="18" t="s">
        <v>8</v>
      </c>
      <c r="P64" s="18" t="s">
        <v>1127</v>
      </c>
    </row>
    <row r="65" spans="1:16" x14ac:dyDescent="0.3">
      <c r="A65" s="12" t="s">
        <v>1131</v>
      </c>
      <c r="B65" s="22" t="s">
        <v>84</v>
      </c>
      <c r="C65" s="17">
        <v>34.200000000000003</v>
      </c>
      <c r="D65" s="17">
        <v>34.6</v>
      </c>
      <c r="E65" s="17">
        <v>34.5</v>
      </c>
      <c r="F65" s="17">
        <v>36.4</v>
      </c>
      <c r="G65" s="17">
        <v>38.6</v>
      </c>
      <c r="H65" s="17">
        <v>39.1</v>
      </c>
      <c r="I65" s="17">
        <v>39.4</v>
      </c>
      <c r="J65" s="17">
        <v>37.799999999999997</v>
      </c>
      <c r="K65" s="17">
        <v>40.5</v>
      </c>
      <c r="L65" s="17">
        <v>42.5</v>
      </c>
      <c r="M65" s="17">
        <v>39.6</v>
      </c>
      <c r="N65" s="17">
        <v>40.200000000000003</v>
      </c>
      <c r="O65" s="18" t="s">
        <v>8</v>
      </c>
      <c r="P65" s="18" t="s">
        <v>1127</v>
      </c>
    </row>
    <row r="66" spans="1:16" x14ac:dyDescent="0.3">
      <c r="A66" s="12" t="s">
        <v>1132</v>
      </c>
      <c r="B66" s="22" t="s">
        <v>84</v>
      </c>
      <c r="C66" s="17">
        <v>90.1</v>
      </c>
      <c r="D66" s="17">
        <v>91.8</v>
      </c>
      <c r="E66" s="17">
        <v>89.8</v>
      </c>
      <c r="F66" s="17">
        <v>92.8</v>
      </c>
      <c r="G66" s="17">
        <v>92.7</v>
      </c>
      <c r="H66" s="17">
        <v>94.2</v>
      </c>
      <c r="I66" s="17">
        <v>95.5</v>
      </c>
      <c r="J66" s="17">
        <v>97.8</v>
      </c>
      <c r="K66" s="17">
        <v>96</v>
      </c>
      <c r="L66" s="17">
        <v>97.8</v>
      </c>
      <c r="M66" s="17">
        <v>93.300000000000011</v>
      </c>
      <c r="N66" s="17">
        <v>93.100000000000009</v>
      </c>
      <c r="O66" s="18" t="s">
        <v>8</v>
      </c>
      <c r="P66" s="18" t="s">
        <v>1127</v>
      </c>
    </row>
    <row r="67" spans="1:16" x14ac:dyDescent="0.3">
      <c r="A67" s="12" t="s">
        <v>1133</v>
      </c>
      <c r="B67" s="22" t="s">
        <v>84</v>
      </c>
      <c r="C67" s="17">
        <v>18.899999999999999</v>
      </c>
      <c r="D67" s="17">
        <v>18.399999999999999</v>
      </c>
      <c r="E67" s="17">
        <v>18.8</v>
      </c>
      <c r="F67" s="17">
        <v>23.4</v>
      </c>
      <c r="G67" s="17">
        <v>25.8</v>
      </c>
      <c r="H67" s="17">
        <v>26.1</v>
      </c>
      <c r="I67" s="17">
        <v>26.5</v>
      </c>
      <c r="J67" s="17">
        <v>25.5</v>
      </c>
      <c r="K67" s="17">
        <v>28.6</v>
      </c>
      <c r="L67" s="17">
        <v>29.5</v>
      </c>
      <c r="M67" s="17">
        <v>23.8</v>
      </c>
      <c r="N67" s="17">
        <v>21.6</v>
      </c>
      <c r="O67" s="18" t="s">
        <v>8</v>
      </c>
      <c r="P67" s="18" t="s">
        <v>1127</v>
      </c>
    </row>
    <row r="68" spans="1:16" x14ac:dyDescent="0.3">
      <c r="A68" s="12" t="s">
        <v>1134</v>
      </c>
      <c r="B68" s="22" t="s">
        <v>84</v>
      </c>
      <c r="C68" s="17">
        <v>55.7</v>
      </c>
      <c r="D68" s="17">
        <v>56.5</v>
      </c>
      <c r="E68" s="17">
        <v>61.8</v>
      </c>
      <c r="F68" s="17">
        <v>56.1</v>
      </c>
      <c r="G68" s="17">
        <v>55</v>
      </c>
      <c r="H68" s="17">
        <v>60.6</v>
      </c>
      <c r="I68" s="17">
        <v>57.6</v>
      </c>
      <c r="J68" s="17">
        <v>56.8</v>
      </c>
      <c r="K68" s="17">
        <v>61.1</v>
      </c>
      <c r="L68" s="17">
        <v>61.6</v>
      </c>
      <c r="M68" s="17">
        <v>64.099999999999994</v>
      </c>
      <c r="N68" s="17">
        <v>63.9</v>
      </c>
      <c r="O68" s="18" t="s">
        <v>8</v>
      </c>
      <c r="P68" s="18" t="s">
        <v>1127</v>
      </c>
    </row>
    <row r="69" spans="1:16" x14ac:dyDescent="0.3">
      <c r="A69" s="12" t="s">
        <v>1135</v>
      </c>
      <c r="B69" s="22" t="s">
        <v>84</v>
      </c>
      <c r="C69" s="17">
        <v>26.299999999999997</v>
      </c>
      <c r="D69" s="17">
        <v>24.7</v>
      </c>
      <c r="E69" s="17">
        <v>26.3</v>
      </c>
      <c r="F69" s="17">
        <v>29.5</v>
      </c>
      <c r="G69" s="17">
        <v>28.900000000000002</v>
      </c>
      <c r="H69" s="17">
        <v>30.9</v>
      </c>
      <c r="I69" s="17">
        <v>33.6</v>
      </c>
      <c r="J69" s="17">
        <v>33.9</v>
      </c>
      <c r="K69" s="17">
        <v>33.799999999999997</v>
      </c>
      <c r="L69" s="17">
        <v>35.1</v>
      </c>
      <c r="M69" s="17">
        <v>37.700000000000003</v>
      </c>
      <c r="N69" s="17">
        <v>37.599999999999994</v>
      </c>
      <c r="O69" s="18" t="s">
        <v>8</v>
      </c>
      <c r="P69" s="18" t="s">
        <v>1127</v>
      </c>
    </row>
    <row r="70" spans="1:16" x14ac:dyDescent="0.3">
      <c r="A70" s="24" t="s">
        <v>102</v>
      </c>
      <c r="B70" s="22" t="s">
        <v>103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82"/>
    </row>
    <row r="71" spans="1:16" x14ac:dyDescent="0.3">
      <c r="A71" s="24"/>
      <c r="B71" s="20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82"/>
    </row>
    <row r="72" spans="1:16" x14ac:dyDescent="0.3">
      <c r="A72" s="12" t="s">
        <v>1136</v>
      </c>
      <c r="B72" s="22" t="s">
        <v>84</v>
      </c>
      <c r="C72" s="17">
        <v>23.9</v>
      </c>
      <c r="D72" s="17">
        <v>26.6</v>
      </c>
      <c r="E72" s="17">
        <v>27.6</v>
      </c>
      <c r="F72" s="17">
        <v>26.5</v>
      </c>
      <c r="G72" s="17">
        <v>24.1</v>
      </c>
      <c r="H72" s="17">
        <v>25</v>
      </c>
      <c r="I72" s="17">
        <v>25</v>
      </c>
      <c r="J72" s="17">
        <v>23.1</v>
      </c>
      <c r="K72" s="17">
        <v>22</v>
      </c>
      <c r="L72" s="17">
        <v>21.3</v>
      </c>
      <c r="M72" s="17">
        <v>20</v>
      </c>
      <c r="N72" s="17">
        <v>17.600000000000001</v>
      </c>
      <c r="O72" s="18" t="s">
        <v>8</v>
      </c>
      <c r="P72" s="182" t="s">
        <v>1137</v>
      </c>
    </row>
    <row r="73" spans="1:16" x14ac:dyDescent="0.3">
      <c r="A73" s="11"/>
      <c r="B73" s="20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8" x14ac:dyDescent="0.35">
      <c r="A75" s="48" t="s">
        <v>1138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x14ac:dyDescent="0.3">
      <c r="A76" s="12" t="s">
        <v>1139</v>
      </c>
      <c r="B76" s="22" t="s">
        <v>66</v>
      </c>
      <c r="C76" s="17">
        <v>7372.0000000000009</v>
      </c>
      <c r="D76" s="17">
        <v>7533.7</v>
      </c>
      <c r="E76" s="17">
        <v>7729.9</v>
      </c>
      <c r="F76" s="17">
        <v>7793.4000000000005</v>
      </c>
      <c r="G76" s="17">
        <v>7964</v>
      </c>
      <c r="H76" s="17">
        <v>8169.8</v>
      </c>
      <c r="I76" s="17">
        <v>8393.5999999999985</v>
      </c>
      <c r="J76" s="17">
        <v>8986.8999999999978</v>
      </c>
      <c r="K76" s="17">
        <v>9497.7000000000007</v>
      </c>
      <c r="L76" s="17">
        <v>10164.399999999998</v>
      </c>
      <c r="M76" s="17">
        <v>10299.200000000003</v>
      </c>
      <c r="N76" s="17">
        <v>11433.500000000002</v>
      </c>
      <c r="O76" s="18" t="s">
        <v>8</v>
      </c>
      <c r="P76" s="18" t="s">
        <v>1140</v>
      </c>
    </row>
    <row r="77" spans="1:16" x14ac:dyDescent="0.3">
      <c r="A77" s="12" t="s">
        <v>1141</v>
      </c>
      <c r="B77" s="22" t="s">
        <v>66</v>
      </c>
      <c r="C77" s="17">
        <v>1128.5</v>
      </c>
      <c r="D77" s="17">
        <v>1169.2</v>
      </c>
      <c r="E77" s="17">
        <v>1170.5999999999999</v>
      </c>
      <c r="F77" s="17">
        <v>1177</v>
      </c>
      <c r="G77" s="17">
        <v>1184.5</v>
      </c>
      <c r="H77" s="17">
        <v>1197.2</v>
      </c>
      <c r="I77" s="17">
        <v>1198.5</v>
      </c>
      <c r="J77" s="17">
        <v>1209.9000000000001</v>
      </c>
      <c r="K77" s="17">
        <v>1212.3</v>
      </c>
      <c r="L77" s="17">
        <v>1218.8</v>
      </c>
      <c r="M77" s="17">
        <v>1237.7</v>
      </c>
      <c r="N77" s="17">
        <v>1260.5</v>
      </c>
      <c r="O77" s="18" t="s">
        <v>8</v>
      </c>
      <c r="P77" s="18" t="s">
        <v>1140</v>
      </c>
    </row>
    <row r="78" spans="1:16" x14ac:dyDescent="0.3">
      <c r="A78" s="12" t="s">
        <v>1142</v>
      </c>
      <c r="B78" s="22" t="s">
        <v>66</v>
      </c>
      <c r="C78" s="17">
        <v>6243.5000000000009</v>
      </c>
      <c r="D78" s="17">
        <v>6364.5</v>
      </c>
      <c r="E78" s="17">
        <v>6559.3</v>
      </c>
      <c r="F78" s="17">
        <v>6616.4000000000005</v>
      </c>
      <c r="G78" s="17">
        <v>6779.5</v>
      </c>
      <c r="H78" s="17">
        <v>6972.6</v>
      </c>
      <c r="I78" s="17">
        <v>7195.0999999999995</v>
      </c>
      <c r="J78" s="17">
        <v>7776.9999999999982</v>
      </c>
      <c r="K78" s="17">
        <v>8285.4000000000015</v>
      </c>
      <c r="L78" s="17">
        <v>8945.5999999999985</v>
      </c>
      <c r="M78" s="17">
        <v>9061.5000000000018</v>
      </c>
      <c r="N78" s="17">
        <v>10173.000000000002</v>
      </c>
      <c r="O78" s="18" t="s">
        <v>8</v>
      </c>
      <c r="P78" s="18" t="s">
        <v>1140</v>
      </c>
    </row>
    <row r="79" spans="1:16" x14ac:dyDescent="0.3">
      <c r="A79" s="12" t="s">
        <v>1143</v>
      </c>
      <c r="B79" s="22" t="s">
        <v>66</v>
      </c>
      <c r="C79" s="17">
        <v>1779.9</v>
      </c>
      <c r="D79" s="17">
        <v>1949.7</v>
      </c>
      <c r="E79" s="17">
        <v>2015.1</v>
      </c>
      <c r="F79" s="17">
        <v>2045.5</v>
      </c>
      <c r="G79" s="17">
        <v>2136.6999999999998</v>
      </c>
      <c r="H79" s="17">
        <v>2143.1</v>
      </c>
      <c r="I79" s="17">
        <v>2247.4</v>
      </c>
      <c r="J79" s="17">
        <v>2476.9</v>
      </c>
      <c r="K79" s="17">
        <v>2523.1</v>
      </c>
      <c r="L79" s="17">
        <v>2515.6</v>
      </c>
      <c r="M79" s="17">
        <v>2507.3000000000002</v>
      </c>
      <c r="N79" s="17">
        <v>2505.6</v>
      </c>
      <c r="O79" s="18" t="s">
        <v>8</v>
      </c>
      <c r="P79" s="18" t="s">
        <v>1140</v>
      </c>
    </row>
    <row r="80" spans="1:16" x14ac:dyDescent="0.3">
      <c r="A80" s="12" t="s">
        <v>1144</v>
      </c>
      <c r="B80" s="22" t="s">
        <v>66</v>
      </c>
      <c r="C80" s="17">
        <v>802.3</v>
      </c>
      <c r="D80" s="17">
        <v>808.8</v>
      </c>
      <c r="E80" s="17">
        <v>820.2</v>
      </c>
      <c r="F80" s="17">
        <v>833.3</v>
      </c>
      <c r="G80" s="17">
        <v>824.4</v>
      </c>
      <c r="H80" s="17">
        <v>845.4</v>
      </c>
      <c r="I80" s="17">
        <v>844.8</v>
      </c>
      <c r="J80" s="17">
        <v>854.1</v>
      </c>
      <c r="K80" s="17">
        <v>870.7</v>
      </c>
      <c r="L80" s="17">
        <v>887.6</v>
      </c>
      <c r="M80" s="17">
        <v>907.8</v>
      </c>
      <c r="N80" s="17">
        <v>926.3</v>
      </c>
      <c r="O80" s="18" t="s">
        <v>8</v>
      </c>
      <c r="P80" s="18" t="s">
        <v>1140</v>
      </c>
    </row>
    <row r="81" spans="1:16" x14ac:dyDescent="0.3">
      <c r="A81" s="12" t="s">
        <v>1145</v>
      </c>
      <c r="B81" s="22" t="s">
        <v>66</v>
      </c>
      <c r="C81" s="17">
        <v>634.1</v>
      </c>
      <c r="D81" s="17">
        <v>644.70000000000005</v>
      </c>
      <c r="E81" s="17">
        <v>655.8</v>
      </c>
      <c r="F81" s="17">
        <v>668.3</v>
      </c>
      <c r="G81" s="17">
        <v>686.8</v>
      </c>
      <c r="H81" s="17">
        <v>714.1</v>
      </c>
      <c r="I81" s="17">
        <v>733.2</v>
      </c>
      <c r="J81" s="17">
        <v>768</v>
      </c>
      <c r="K81" s="17">
        <v>786</v>
      </c>
      <c r="L81" s="17">
        <v>794.4</v>
      </c>
      <c r="M81" s="17">
        <v>826.9</v>
      </c>
      <c r="N81" s="17">
        <v>912.4</v>
      </c>
      <c r="O81" s="18" t="s">
        <v>8</v>
      </c>
      <c r="P81" s="18" t="s">
        <v>1140</v>
      </c>
    </row>
    <row r="82" spans="1:16" x14ac:dyDescent="0.3">
      <c r="A82" s="12" t="s">
        <v>1146</v>
      </c>
      <c r="B82" s="22" t="s">
        <v>66</v>
      </c>
      <c r="C82" s="17">
        <v>264</v>
      </c>
      <c r="D82" s="17">
        <v>316.2</v>
      </c>
      <c r="E82" s="17">
        <v>324.5</v>
      </c>
      <c r="F82" s="17">
        <v>337.2</v>
      </c>
      <c r="G82" s="17">
        <v>333.2</v>
      </c>
      <c r="H82" s="17">
        <v>338.6</v>
      </c>
      <c r="I82" s="17">
        <v>348.1</v>
      </c>
      <c r="J82" s="17">
        <v>352.1</v>
      </c>
      <c r="K82" s="17">
        <v>362.2</v>
      </c>
      <c r="L82" s="17">
        <v>373.7</v>
      </c>
      <c r="M82" s="17">
        <v>243.3</v>
      </c>
      <c r="N82" s="17">
        <v>266.10000000000002</v>
      </c>
      <c r="O82" s="18" t="s">
        <v>8</v>
      </c>
      <c r="P82" s="18" t="s">
        <v>1140</v>
      </c>
    </row>
    <row r="83" spans="1:16" x14ac:dyDescent="0.3">
      <c r="A83" s="12" t="s">
        <v>1147</v>
      </c>
      <c r="B83" s="22" t="s">
        <v>66</v>
      </c>
      <c r="C83" s="189">
        <v>128.80000000000001</v>
      </c>
      <c r="D83" s="189">
        <v>137.80000000000001</v>
      </c>
      <c r="E83" s="189">
        <v>142.1</v>
      </c>
      <c r="F83" s="189">
        <v>158</v>
      </c>
      <c r="G83" s="189">
        <v>161.6</v>
      </c>
      <c r="H83" s="189">
        <v>166.5</v>
      </c>
      <c r="I83" s="189">
        <v>166.1</v>
      </c>
      <c r="J83" s="189">
        <v>170.1</v>
      </c>
      <c r="K83" s="189">
        <v>183.5</v>
      </c>
      <c r="L83" s="189">
        <v>181.8</v>
      </c>
      <c r="M83" s="189">
        <v>167.5</v>
      </c>
      <c r="N83" s="189">
        <v>195.9</v>
      </c>
      <c r="O83" s="18" t="s">
        <v>8</v>
      </c>
      <c r="P83" s="18" t="s">
        <v>1140</v>
      </c>
    </row>
    <row r="84" spans="1:16" x14ac:dyDescent="0.3">
      <c r="A84" s="24" t="s">
        <v>102</v>
      </c>
      <c r="B84" s="25" t="s">
        <v>103</v>
      </c>
      <c r="C84" s="87">
        <f>IFERROR(SUM(C77:C83)/' Macroeconomy (ktoe)'!C26,"")</f>
        <v>1</v>
      </c>
      <c r="D84" s="87">
        <f>IFERROR(SUM(D77:D83)/' Macroeconomy (ktoe)'!D26,"")</f>
        <v>1</v>
      </c>
      <c r="E84" s="87">
        <f>IFERROR(SUM(E77:E83)/' Macroeconomy (ktoe)'!E26,"")</f>
        <v>1</v>
      </c>
      <c r="F84" s="87">
        <f>IFERROR(SUM(F77:F83)/' Macroeconomy (ktoe)'!F26,"")</f>
        <v>1</v>
      </c>
      <c r="G84" s="87">
        <f>IFERROR(SUM(G77:G83)/' Macroeconomy (ktoe)'!G26,"")</f>
        <v>1</v>
      </c>
      <c r="H84" s="87">
        <f>IFERROR(SUM(H77:H83)/' Macroeconomy (ktoe)'!H26,"")</f>
        <v>1</v>
      </c>
      <c r="I84" s="87">
        <f>IFERROR(SUM(I77:I83)/' Macroeconomy (ktoe)'!I26,"")</f>
        <v>0.99999999999999989</v>
      </c>
      <c r="J84" s="87">
        <f>IFERROR(SUM(J77:J83)/' Macroeconomy (ktoe)'!J26,"")</f>
        <v>0.99999999999999989</v>
      </c>
      <c r="K84" s="87">
        <f>IFERROR(SUM(K77:K83)/' Macroeconomy (ktoe)'!K26,"")</f>
        <v>1.0000000000000002</v>
      </c>
      <c r="L84" s="87">
        <f>IFERROR(SUM(L77:L83)/' Macroeconomy (ktoe)'!L26,"")</f>
        <v>1.0000000000000002</v>
      </c>
      <c r="M84" s="87">
        <f>IFERROR(SUM(M77:M83)/' Macroeconomy (ktoe)'!M26,"")</f>
        <v>1.0000000000000002</v>
      </c>
      <c r="N84" s="87">
        <f>IFERROR(SUM(N77:N83)/' Macroeconomy (ktoe)'!N26,"")</f>
        <v>1</v>
      </c>
      <c r="O84" s="11"/>
      <c r="P84" s="11"/>
    </row>
    <row r="85" spans="1:16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8" x14ac:dyDescent="0.35">
      <c r="A87" s="77" t="s">
        <v>183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3">
      <c r="A89" s="12" t="s">
        <v>1148</v>
      </c>
      <c r="B89" s="22" t="s">
        <v>66</v>
      </c>
      <c r="C89" s="189">
        <f>'Macroeconomy (GWh)'!C26</f>
        <v>10981.1</v>
      </c>
      <c r="D89" s="189">
        <f>'Macroeconomy (GWh)'!D26</f>
        <v>11390.9</v>
      </c>
      <c r="E89" s="189">
        <f>'Macroeconomy (GWh)'!E26</f>
        <v>11687.6</v>
      </c>
      <c r="F89" s="189">
        <f>'Macroeconomy (GWh)'!F26</f>
        <v>11835.7</v>
      </c>
      <c r="G89" s="189">
        <f>'Macroeconomy (GWh)'!G26</f>
        <v>12106.7</v>
      </c>
      <c r="H89" s="189">
        <f>'Macroeconomy (GWh)'!H26</f>
        <v>12377.5</v>
      </c>
      <c r="I89" s="189">
        <f>'Macroeconomy (GWh)'!I26</f>
        <v>12733.2</v>
      </c>
      <c r="J89" s="189">
        <f>'Macroeconomy (GWh)'!J26</f>
        <v>13608.1</v>
      </c>
      <c r="K89" s="189">
        <f>'Macroeconomy (GWh)'!K26</f>
        <v>14223.2</v>
      </c>
      <c r="L89" s="189">
        <f>'Macroeconomy (GWh)'!L26</f>
        <v>14917.499999999996</v>
      </c>
      <c r="M89" s="189">
        <f>'Macroeconomy (GWh)'!M26</f>
        <v>14952</v>
      </c>
      <c r="N89" s="189">
        <f>'Macroeconomy (GWh)'!N26</f>
        <v>16239.800000000001</v>
      </c>
      <c r="O89" s="11"/>
      <c r="P89" s="11"/>
    </row>
    <row r="90" spans="1:16" x14ac:dyDescent="0.3">
      <c r="A90" s="12" t="s">
        <v>1109</v>
      </c>
      <c r="B90" s="22" t="s">
        <v>226</v>
      </c>
      <c r="C90" s="206">
        <f t="shared" ref="C90:N90" si="0">C19/1000</f>
        <v>4.9338888888888883</v>
      </c>
      <c r="D90" s="206">
        <f t="shared" si="0"/>
        <v>4.6772222222222215</v>
      </c>
      <c r="E90" s="206">
        <f t="shared" si="0"/>
        <v>4.9255555555555555</v>
      </c>
      <c r="F90" s="206">
        <f t="shared" si="0"/>
        <v>4.8602777777777773</v>
      </c>
      <c r="G90" s="206">
        <f t="shared" si="0"/>
        <v>5.322222222222222</v>
      </c>
      <c r="H90" s="206">
        <f t="shared" si="0"/>
        <v>5.4124999999999996</v>
      </c>
      <c r="I90" s="206">
        <f t="shared" si="0"/>
        <v>5.7941666666666674</v>
      </c>
      <c r="J90" s="206">
        <f t="shared" si="0"/>
        <v>5.4511111111111115</v>
      </c>
      <c r="K90" s="206">
        <f t="shared" si="0"/>
        <v>5.7024999999999997</v>
      </c>
      <c r="L90" s="206">
        <f t="shared" si="0"/>
        <v>5.4349999999999996</v>
      </c>
      <c r="M90" s="206">
        <f t="shared" si="0"/>
        <v>5.483888888888889</v>
      </c>
      <c r="N90" s="206">
        <f t="shared" si="0"/>
        <v>5.908611111111111</v>
      </c>
      <c r="O90" s="11"/>
      <c r="P90" s="11"/>
    </row>
    <row r="91" spans="1:16" x14ac:dyDescent="0.3">
      <c r="A91" s="12" t="s">
        <v>1107</v>
      </c>
      <c r="B91" s="22" t="s">
        <v>226</v>
      </c>
      <c r="C91" s="206">
        <f t="shared" ref="C91:N91" si="1">C17/1000</f>
        <v>2.5111111111111111</v>
      </c>
      <c r="D91" s="206">
        <f t="shared" si="1"/>
        <v>2.3780555555555556</v>
      </c>
      <c r="E91" s="206">
        <f t="shared" si="1"/>
        <v>2.536111111111111</v>
      </c>
      <c r="F91" s="206">
        <f t="shared" si="1"/>
        <v>2.5299999999999998</v>
      </c>
      <c r="G91" s="206">
        <f t="shared" si="1"/>
        <v>2.7949999999999999</v>
      </c>
      <c r="H91" s="206">
        <f t="shared" si="1"/>
        <v>2.8130555555555556</v>
      </c>
      <c r="I91" s="206">
        <f t="shared" si="1"/>
        <v>2.971111111111111</v>
      </c>
      <c r="J91" s="206">
        <f t="shared" si="1"/>
        <v>2.7155555555555555</v>
      </c>
      <c r="K91" s="206">
        <f t="shared" si="1"/>
        <v>2.9330555555555557</v>
      </c>
      <c r="L91" s="206">
        <f t="shared" si="1"/>
        <v>2.9211111111111108</v>
      </c>
      <c r="M91" s="206">
        <f t="shared" si="1"/>
        <v>2.846111111111111</v>
      </c>
      <c r="N91" s="206">
        <f t="shared" si="1"/>
        <v>3.2561111111111103</v>
      </c>
      <c r="O91" s="11"/>
      <c r="P91" s="11"/>
    </row>
    <row r="92" spans="1:16" x14ac:dyDescent="0.3">
      <c r="A92" s="11"/>
      <c r="B92" s="2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3">
      <c r="A93" s="164" t="s">
        <v>1149</v>
      </c>
      <c r="B93" s="22" t="s">
        <v>226</v>
      </c>
      <c r="C93" s="276">
        <f>IFERROR((C19/1000)/(1-(C41*0.9)*(1-'Households (GWh)'!C166)),"")</f>
        <v>4.6695212432041808</v>
      </c>
      <c r="D93" s="276">
        <f>IFERROR((D19/1000)/(1-(D41*0.9)*(1-'Households (GWh)'!D166)),"")</f>
        <v>4.9020217032182316</v>
      </c>
      <c r="E93" s="276">
        <f>IFERROR((E19/1000)/(1-(E41*0.9)*(1-'Households (GWh)'!E166)),"")</f>
        <v>4.8428296267446402</v>
      </c>
      <c r="F93" s="276">
        <f>IFERROR((F19/1000)/(1-(F41*0.9)*(1-'Households (GWh)'!F166)),"")</f>
        <v>5.0444157708572162</v>
      </c>
      <c r="G93" s="276">
        <f>IFERROR((G19/1000)/(1-(G41*0.9)*(1-'Households (GWh)'!G166)),"")</f>
        <v>5.5306851323559441</v>
      </c>
      <c r="H93" s="276">
        <f>IFERROR((H19/1000)/(1-(H41*0.9)*(1-'Households (GWh)'!H166)),"")</f>
        <v>5.8876604510929669</v>
      </c>
      <c r="I93" s="276">
        <f>IFERROR((I19/1000)/(1-(I41*0.9)*(1-'Households (GWh)'!I166)),"")</f>
        <v>5.968404791104132</v>
      </c>
      <c r="J93" s="276">
        <f>IFERROR((J19/1000)/(1-(J41*0.9)*(1-'Households (GWh)'!J166)),"")</f>
        <v>5.6132694319839205</v>
      </c>
      <c r="K93" s="276">
        <f>IFERROR((K19/1000)/(1-(K41*0.9)*(1-'Households (GWh)'!K166)),"")</f>
        <v>5.9801966154117947</v>
      </c>
      <c r="L93" s="276">
        <f>IFERROR((L19/1000)/(1-(L41*0.9)*(1-'Households (GWh)'!L166)),"")</f>
        <v>5.8330037003179349</v>
      </c>
      <c r="M93" s="276">
        <f>IFERROR((M19/1000)/(1-(M41*0.9)*(1-'Households (GWh)'!M166)),"")</f>
        <v>6.0661782429382578</v>
      </c>
      <c r="N93" s="276">
        <f>IFERROR((N19/1000)/(1-(N41*0.9)*(1-'Households (GWh)'!N166)),"")</f>
        <v>5.908611111111111</v>
      </c>
      <c r="O93" s="11"/>
      <c r="P93" s="11"/>
    </row>
    <row r="94" spans="1:16" x14ac:dyDescent="0.3">
      <c r="A94" s="12" t="s">
        <v>1150</v>
      </c>
      <c r="B94" s="22">
        <v>1</v>
      </c>
      <c r="C94" s="206">
        <f t="shared" ref="C94:N94" si="2">C93/C19*1000</f>
        <v>0.94641799772182478</v>
      </c>
      <c r="D94" s="206">
        <f t="shared" si="2"/>
        <v>1.0480626043227008</v>
      </c>
      <c r="E94" s="206">
        <f t="shared" si="2"/>
        <v>0.98320475165129162</v>
      </c>
      <c r="F94" s="206">
        <f t="shared" si="2"/>
        <v>1.0378863105152871</v>
      </c>
      <c r="G94" s="206">
        <f t="shared" si="2"/>
        <v>1.0391683964760647</v>
      </c>
      <c r="H94" s="206">
        <f t="shared" si="2"/>
        <v>1.0877894597862294</v>
      </c>
      <c r="I94" s="206">
        <f t="shared" si="2"/>
        <v>1.0300713000611186</v>
      </c>
      <c r="J94" s="206">
        <f t="shared" si="2"/>
        <v>1.029747755561665</v>
      </c>
      <c r="K94" s="206">
        <f t="shared" si="2"/>
        <v>1.0486973459731337</v>
      </c>
      <c r="L94" s="206">
        <f t="shared" si="2"/>
        <v>1.0732297516684333</v>
      </c>
      <c r="M94" s="206">
        <f t="shared" si="2"/>
        <v>1.1061818293272074</v>
      </c>
      <c r="N94" s="206">
        <f t="shared" si="2"/>
        <v>1</v>
      </c>
      <c r="O94" s="11"/>
      <c r="P94" s="11"/>
    </row>
    <row r="95" spans="1:16" x14ac:dyDescent="0.3">
      <c r="A95" s="164" t="s">
        <v>1151</v>
      </c>
      <c r="B95" s="22" t="s">
        <v>226</v>
      </c>
      <c r="C95" s="276">
        <f>IF(C17="",0,C17/(1-(C42*0.9)*(1-'Households (GWh)'!C166))/1000)</f>
        <v>2.43608259604544</v>
      </c>
      <c r="D95" s="276">
        <f>IF(D17="",0,D17/(1-(D42*0.9)*(1-'Households (GWh)'!D166))/1000)</f>
        <v>2.4396775558227226</v>
      </c>
      <c r="E95" s="276">
        <f>IF(E17="",0,E17/(1-(E42*0.9)*(1-'Households (GWh)'!E166))/1000)</f>
        <v>2.5121804464043529</v>
      </c>
      <c r="F95" s="276">
        <f>IF(F17="",0,F17/(1-(F42*0.9)*(1-'Households (GWh)'!F166))/1000)</f>
        <v>2.5832390749325955</v>
      </c>
      <c r="G95" s="276">
        <f>IF(G17="",0,G17/(1-(G42*0.9)*(1-'Households (GWh)'!G166))/1000)</f>
        <v>2.8565446466726434</v>
      </c>
      <c r="H95" s="276">
        <f>IF(H17="",0,H17/(1-(H42*0.9)*(1-'Households (GWh)'!H166))/1000)</f>
        <v>2.95087428236761</v>
      </c>
      <c r="I95" s="276">
        <f>IF(I17="",0,I17/(1-(I42*0.9)*(1-'Households (GWh)'!I166))/1000)</f>
        <v>3.0228136476476681</v>
      </c>
      <c r="J95" s="276">
        <f>IF(J17="",0,J17/(1-(J42*0.9)*(1-'Households (GWh)'!J166))/1000)</f>
        <v>2.7628984470378408</v>
      </c>
      <c r="K95" s="276">
        <f>IF(K17="",0,K17/(1-(K42*0.9)*(1-'Households (GWh)'!K166))/1000)</f>
        <v>3.0189904109048715</v>
      </c>
      <c r="L95" s="276">
        <f>IF(L17="",0,L17/(1-(L42*0.9)*(1-'Households (GWh)'!L166))/1000)</f>
        <v>3.0493994780604288</v>
      </c>
      <c r="M95" s="276">
        <f>IF(M17="",0,M17/(1-(M42*0.9)*(1-'Households (GWh)'!M166))/1000)</f>
        <v>3.0236809767053554</v>
      </c>
      <c r="N95" s="276">
        <f>IF(N17="",0,N17/(1-(N42*0.9)*(1-'Households (GWh)'!N166))/1000)</f>
        <v>3.2561111111111103</v>
      </c>
      <c r="O95" s="11"/>
      <c r="P95" s="11"/>
    </row>
    <row r="96" spans="1:16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8" x14ac:dyDescent="0.35">
      <c r="A97" s="274" t="s">
        <v>216</v>
      </c>
      <c r="B97" s="27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3">
      <c r="A99" s="12" t="s">
        <v>1152</v>
      </c>
      <c r="B99" s="22" t="s">
        <v>628</v>
      </c>
      <c r="C99" s="206">
        <f>IFERROR(C93/'Macroeconomy (GWh)'!C22*1000,"")</f>
        <v>0.52182553367095141</v>
      </c>
      <c r="D99" s="206">
        <f>IFERROR(D93/'Macroeconomy (GWh)'!D22*1000,"")</f>
        <v>0.49689319999174797</v>
      </c>
      <c r="E99" s="206">
        <f>IFERROR(E93/'Macroeconomy (GWh)'!E22*1000,"")</f>
        <v>0.45421863970890713</v>
      </c>
      <c r="F99" s="206">
        <f>IFERROR(F93/'Macroeconomy (GWh)'!F22*1000,"")</f>
        <v>0.44625102371908409</v>
      </c>
      <c r="G99" s="206">
        <f>IFERROR(G93/'Macroeconomy (GWh)'!G22*1000,"")</f>
        <v>0.46078985647023868</v>
      </c>
      <c r="H99" s="206">
        <f>IFERROR(H93/'Macroeconomy (GWh)'!H22*1000,"")</f>
        <v>0.47567444565485489</v>
      </c>
      <c r="I99" s="206">
        <f>IFERROR(I93/'Macroeconomy (GWh)'!I22*1000,"")</f>
        <v>0.457131844725428</v>
      </c>
      <c r="J99" s="206">
        <f>IFERROR(J93/'Macroeconomy (GWh)'!J22*1000,"")</f>
        <v>0.39014633656648229</v>
      </c>
      <c r="K99" s="206">
        <f>IFERROR(K93/'Macroeconomy (GWh)'!K22*1000,"")</f>
        <v>0.37881712953547619</v>
      </c>
      <c r="L99" s="206">
        <f>IFERROR(L93/'Macroeconomy (GWh)'!L22*1000,"")</f>
        <v>0.34134288173953886</v>
      </c>
      <c r="M99" s="206">
        <f>IFERROR(M93/'Macroeconomy (GWh)'!M22*1000,"")</f>
        <v>0.35072520643025074</v>
      </c>
      <c r="N99" s="206">
        <f>IFERROR(N93/'Macroeconomy (GWh)'!N22*1000,"")</f>
        <v>0.30046331610023447</v>
      </c>
      <c r="O99" s="11"/>
      <c r="P99" s="11"/>
    </row>
    <row r="100" spans="1:16" x14ac:dyDescent="0.3">
      <c r="A100" s="12" t="s">
        <v>1153</v>
      </c>
      <c r="B100" s="22" t="s">
        <v>628</v>
      </c>
      <c r="C100" s="190">
        <f>IFERROR((C17/0.086)/'Macroeconomy (GWh)'!C26*1000,"")</f>
        <v>2659.0201717741147</v>
      </c>
      <c r="D100" s="190">
        <f>IFERROR((D17/0.086)/'Macroeconomy (GWh)'!D26*1000,"")</f>
        <v>2427.5350310800482</v>
      </c>
      <c r="E100" s="190">
        <f>IFERROR((E17/0.086)/'Macroeconomy (GWh)'!E26*1000,"")</f>
        <v>2523.1582260419023</v>
      </c>
      <c r="F100" s="190">
        <f>IFERROR((F17/0.086)/'Macroeconomy (GWh)'!F26*1000,"")</f>
        <v>2485.5821498654741</v>
      </c>
      <c r="G100" s="190">
        <f>IFERROR((G17/0.086)/'Macroeconomy (GWh)'!G26*1000,"")</f>
        <v>2684.4639744934625</v>
      </c>
      <c r="H100" s="190">
        <f>IFERROR((H17/0.086)/'Macroeconomy (GWh)'!H26*1000,"")</f>
        <v>2642.6942694739196</v>
      </c>
      <c r="I100" s="190">
        <f>IFERROR((I17/0.086)/'Macroeconomy (GWh)'!I26*1000,"")</f>
        <v>2713.206705115058</v>
      </c>
      <c r="J100" s="190">
        <f>IFERROR((J17/0.086)/'Macroeconomy (GWh)'!J26*1000,"")</f>
        <v>2320.3994231509823</v>
      </c>
      <c r="K100" s="190">
        <f>IFERROR((K17/0.086)/'Macroeconomy (GWh)'!K26*1000,"")</f>
        <v>2397.8638532554373</v>
      </c>
      <c r="L100" s="190">
        <f>IFERROR((L17/0.086)/'Macroeconomy (GWh)'!L26*1000,"")</f>
        <v>2276.9504453650989</v>
      </c>
      <c r="M100" s="190">
        <f>IFERROR((M17/0.086)/'Macroeconomy (GWh)'!M26*1000,"")</f>
        <v>2213.3704685311686</v>
      </c>
      <c r="N100" s="190">
        <f>IFERROR((N17/0.086)/'Macroeconomy (GWh)'!N26*1000,"")</f>
        <v>2331.4176963967011</v>
      </c>
      <c r="O100" s="11"/>
      <c r="P100" s="11"/>
    </row>
    <row r="101" spans="1:16" x14ac:dyDescent="0.3">
      <c r="A101" s="12" t="s">
        <v>1154</v>
      </c>
      <c r="B101" s="22" t="s">
        <v>1157</v>
      </c>
      <c r="C101" s="151">
        <f>IFERROR(C93/C61*1000,"")</f>
        <v>12.702723730152831</v>
      </c>
      <c r="D101" s="151">
        <f t="shared" ref="D101:N101" si="3">IFERROR(D93/D61*1000,"")</f>
        <v>12.971743062234008</v>
      </c>
      <c r="E101" s="151">
        <f t="shared" si="3"/>
        <v>12.423883085542943</v>
      </c>
      <c r="F101" s="151">
        <f t="shared" si="3"/>
        <v>12.570186321597848</v>
      </c>
      <c r="G101" s="151">
        <f t="shared" si="3"/>
        <v>13.473045389417647</v>
      </c>
      <c r="H101" s="151">
        <f t="shared" si="3"/>
        <v>14.170061254134698</v>
      </c>
      <c r="I101" s="151">
        <f t="shared" si="3"/>
        <v>14.056535070899981</v>
      </c>
      <c r="J101" s="151">
        <f t="shared" si="3"/>
        <v>12.9846621142353</v>
      </c>
      <c r="K101" s="151">
        <f t="shared" si="3"/>
        <v>13.582095424510092</v>
      </c>
      <c r="L101" s="151">
        <f t="shared" si="3"/>
        <v>12.853688189329956</v>
      </c>
      <c r="M101" s="151">
        <f t="shared" si="3"/>
        <v>13.746155093900425</v>
      </c>
      <c r="N101" s="151">
        <f t="shared" si="3"/>
        <v>13.380007045088567</v>
      </c>
      <c r="O101" s="11"/>
      <c r="P101" s="11"/>
    </row>
    <row r="102" spans="1:16" x14ac:dyDescent="0.3">
      <c r="A102" s="12" t="s">
        <v>1156</v>
      </c>
      <c r="B102" s="22" t="s">
        <v>1157</v>
      </c>
      <c r="C102" s="190">
        <f>IFERROR(C91/C61*1000*11630,"")</f>
        <v>79445.653488090902</v>
      </c>
      <c r="D102" s="190">
        <f t="shared" ref="D102:N102" si="4">IFERROR(D91/D61*1000*11630,"")</f>
        <v>73185.462056393531</v>
      </c>
      <c r="E102" s="190">
        <f t="shared" si="4"/>
        <v>75666.93746080609</v>
      </c>
      <c r="F102" s="190">
        <f t="shared" si="4"/>
        <v>73321.455270371283</v>
      </c>
      <c r="G102" s="190">
        <f t="shared" si="4"/>
        <v>79185.992691839216</v>
      </c>
      <c r="H102" s="190">
        <f t="shared" si="4"/>
        <v>78738.474394972596</v>
      </c>
      <c r="I102" s="190">
        <f t="shared" si="4"/>
        <v>81380.174805045273</v>
      </c>
      <c r="J102" s="190">
        <f t="shared" si="4"/>
        <v>73055.542704397667</v>
      </c>
      <c r="K102" s="190">
        <f t="shared" si="4"/>
        <v>77473.168546697954</v>
      </c>
      <c r="L102" s="190">
        <f t="shared" si="4"/>
        <v>74862.323098770852</v>
      </c>
      <c r="M102" s="190">
        <f t="shared" si="4"/>
        <v>75006.281944759161</v>
      </c>
      <c r="N102" s="190">
        <f t="shared" si="4"/>
        <v>85753.107387278549</v>
      </c>
      <c r="O102" s="11"/>
      <c r="P102" s="11"/>
    </row>
    <row r="103" spans="1:16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</sheetData>
  <conditionalFormatting sqref="O7:O18">
    <cfRule type="expression" dxfId="65" priority="58">
      <formula>AND(COUNT(K5:XEM5)&lt;&gt;0,(O7)="")</formula>
    </cfRule>
  </conditionalFormatting>
  <conditionalFormatting sqref="O7:O18">
    <cfRule type="expression" dxfId="64" priority="59">
      <formula>AND($AK5&lt;&gt;"",ISBLANK($E5:$AG5))</formula>
    </cfRule>
  </conditionalFormatting>
  <conditionalFormatting sqref="C50:N50 C52:N54 C56:N57 N55">
    <cfRule type="containsBlanks" dxfId="63" priority="52">
      <formula>LEN(TRIM(C50))=0</formula>
    </cfRule>
  </conditionalFormatting>
  <conditionalFormatting sqref="C41:N42">
    <cfRule type="containsBlanks" dxfId="62" priority="55">
      <formula>LEN(TRIM(C41))=0</formula>
    </cfRule>
  </conditionalFormatting>
  <conditionalFormatting sqref="P7:P19">
    <cfRule type="expression" dxfId="61" priority="56">
      <formula>AND(COUNT(J7:XEL7)&lt;&gt;0,(P7)="")</formula>
    </cfRule>
  </conditionalFormatting>
  <conditionalFormatting sqref="P7:P19">
    <cfRule type="expression" dxfId="60" priority="57">
      <formula>AND($AM7&lt;&gt;"",ISBLANK($E7:$AG7))</formula>
    </cfRule>
  </conditionalFormatting>
  <conditionalFormatting sqref="O41:O42">
    <cfRule type="expression" dxfId="59" priority="53">
      <formula>AND(COUNT(K39:XEM39)&lt;&gt;0,(O41)="")</formula>
    </cfRule>
  </conditionalFormatting>
  <conditionalFormatting sqref="O41:O42">
    <cfRule type="expression" dxfId="58" priority="54">
      <formula>AND($AK39&lt;&gt;"",ISBLANK($E39:$AG39))</formula>
    </cfRule>
  </conditionalFormatting>
  <conditionalFormatting sqref="O50:O57">
    <cfRule type="expression" dxfId="57" priority="50">
      <formula>AND(COUNT(K48:XEM48)&lt;&gt;0,(O50)="")</formula>
    </cfRule>
  </conditionalFormatting>
  <conditionalFormatting sqref="O50:O57">
    <cfRule type="expression" dxfId="56" priority="51">
      <formula>AND($AK48&lt;&gt;"",ISBLANK($E48:$AG48))</formula>
    </cfRule>
  </conditionalFormatting>
  <conditionalFormatting sqref="C61:N69">
    <cfRule type="containsBlanks" dxfId="55" priority="49">
      <formula>LEN(TRIM(C61))=0</formula>
    </cfRule>
  </conditionalFormatting>
  <conditionalFormatting sqref="O62">
    <cfRule type="expression" dxfId="54" priority="47">
      <formula>AND(COUNT(K60:XEM60)&lt;&gt;0,(O62)="")</formula>
    </cfRule>
  </conditionalFormatting>
  <conditionalFormatting sqref="O62">
    <cfRule type="expression" dxfId="53" priority="48">
      <formula>AND($AK60&lt;&gt;"",ISBLANK($E60:$AG60))</formula>
    </cfRule>
  </conditionalFormatting>
  <conditionalFormatting sqref="O61">
    <cfRule type="expression" dxfId="52" priority="45">
      <formula>AND(COUNT(K59:XEM59)&lt;&gt;0,(O61)="")</formula>
    </cfRule>
  </conditionalFormatting>
  <conditionalFormatting sqref="O61">
    <cfRule type="expression" dxfId="51" priority="46">
      <formula>AND($AK59&lt;&gt;"",ISBLANK($E59:$AG59))</formula>
    </cfRule>
  </conditionalFormatting>
  <conditionalFormatting sqref="O63:O69">
    <cfRule type="expression" dxfId="50" priority="43">
      <formula>AND(COUNT(K61:XEM61)&lt;&gt;0,(O63)="")</formula>
    </cfRule>
  </conditionalFormatting>
  <conditionalFormatting sqref="O63:O69">
    <cfRule type="expression" dxfId="49" priority="44">
      <formula>AND($AK61&lt;&gt;"",ISBLANK($E61:$AG61))</formula>
    </cfRule>
  </conditionalFormatting>
  <conditionalFormatting sqref="C72:E72">
    <cfRule type="containsBlanks" dxfId="48" priority="42">
      <formula>LEN(TRIM(C72))=0</formula>
    </cfRule>
  </conditionalFormatting>
  <conditionalFormatting sqref="F72:N72">
    <cfRule type="containsBlanks" dxfId="47" priority="41">
      <formula>LEN(TRIM(F72))=0</formula>
    </cfRule>
  </conditionalFormatting>
  <conditionalFormatting sqref="O72">
    <cfRule type="expression" dxfId="46" priority="39">
      <formula>AND(COUNT(K70:XEM70)&lt;&gt;0,(O72)="")</formula>
    </cfRule>
  </conditionalFormatting>
  <conditionalFormatting sqref="O72">
    <cfRule type="expression" dxfId="45" priority="40">
      <formula>AND($AK70&lt;&gt;"",ISBLANK($E70:$AG70))</formula>
    </cfRule>
  </conditionalFormatting>
  <conditionalFormatting sqref="P61:P69">
    <cfRule type="expression" dxfId="44" priority="37">
      <formula>AND(COUNT(L59:XEN59)&lt;&gt;0,(P61)="")</formula>
    </cfRule>
  </conditionalFormatting>
  <conditionalFormatting sqref="P61:P69">
    <cfRule type="expression" dxfId="43" priority="38">
      <formula>AND($AK59&lt;&gt;"",ISBLANK($E59:$AG59))</formula>
    </cfRule>
  </conditionalFormatting>
  <conditionalFormatting sqref="C76:N83">
    <cfRule type="containsBlanks" dxfId="42" priority="36">
      <formula>LEN(TRIM(C76))=0</formula>
    </cfRule>
  </conditionalFormatting>
  <conditionalFormatting sqref="O76">
    <cfRule type="expression" dxfId="41" priority="34">
      <formula>AND(COUNT(K74:XEM74)&lt;&gt;0,(O76)="")</formula>
    </cfRule>
  </conditionalFormatting>
  <conditionalFormatting sqref="O76">
    <cfRule type="expression" dxfId="40" priority="35">
      <formula>AND($AK74&lt;&gt;"",ISBLANK($E74:$AG74))</formula>
    </cfRule>
  </conditionalFormatting>
  <conditionalFormatting sqref="O77:O83">
    <cfRule type="expression" dxfId="39" priority="32">
      <formula>AND(COUNT(K75:XEM75)&lt;&gt;0,(O77)="")</formula>
    </cfRule>
  </conditionalFormatting>
  <conditionalFormatting sqref="O77:O83">
    <cfRule type="expression" dxfId="38" priority="33">
      <formula>AND($AK75&lt;&gt;"",ISBLANK($E75:$AG75))</formula>
    </cfRule>
  </conditionalFormatting>
  <conditionalFormatting sqref="P76">
    <cfRule type="expression" dxfId="37" priority="30">
      <formula>AND(COUNT(L74:XEN74)&lt;&gt;0,(P76)="")</formula>
    </cfRule>
  </conditionalFormatting>
  <conditionalFormatting sqref="P76">
    <cfRule type="expression" dxfId="36" priority="31">
      <formula>AND($AK74&lt;&gt;"",ISBLANK($E74:$AG74))</formula>
    </cfRule>
  </conditionalFormatting>
  <conditionalFormatting sqref="P77">
    <cfRule type="expression" dxfId="35" priority="28">
      <formula>AND(COUNT(L75:XEN75)&lt;&gt;0,(P77)="")</formula>
    </cfRule>
  </conditionalFormatting>
  <conditionalFormatting sqref="P77">
    <cfRule type="expression" dxfId="34" priority="29">
      <formula>AND($AK75&lt;&gt;"",ISBLANK($E75:$AG75))</formula>
    </cfRule>
  </conditionalFormatting>
  <conditionalFormatting sqref="P78">
    <cfRule type="expression" dxfId="33" priority="26">
      <formula>AND(COUNT(L76:XEN76)&lt;&gt;0,(P78)="")</formula>
    </cfRule>
  </conditionalFormatting>
  <conditionalFormatting sqref="P78">
    <cfRule type="expression" dxfId="32" priority="27">
      <formula>AND($AK76&lt;&gt;"",ISBLANK($E76:$AG76))</formula>
    </cfRule>
  </conditionalFormatting>
  <conditionalFormatting sqref="P79">
    <cfRule type="expression" dxfId="31" priority="24">
      <formula>AND(COUNT(L77:XEN77)&lt;&gt;0,(P79)="")</formula>
    </cfRule>
  </conditionalFormatting>
  <conditionalFormatting sqref="P79">
    <cfRule type="expression" dxfId="30" priority="25">
      <formula>AND($AK77&lt;&gt;"",ISBLANK($E77:$AG77))</formula>
    </cfRule>
  </conditionalFormatting>
  <conditionalFormatting sqref="P80:P83">
    <cfRule type="expression" dxfId="29" priority="22">
      <formula>AND(COUNT(L78:XEN78)&lt;&gt;0,(P80)="")</formula>
    </cfRule>
  </conditionalFormatting>
  <conditionalFormatting sqref="P80:P83">
    <cfRule type="expression" dxfId="28" priority="23">
      <formula>AND($AK78&lt;&gt;"",ISBLANK($E78:$AG78))</formula>
    </cfRule>
  </conditionalFormatting>
  <conditionalFormatting sqref="P51">
    <cfRule type="expression" dxfId="27" priority="20">
      <formula>AND($AK51&lt;&gt;"",ISBLANK($E51:$AG51))</formula>
    </cfRule>
  </conditionalFormatting>
  <conditionalFormatting sqref="P51">
    <cfRule type="expression" dxfId="26" priority="21">
      <formula>AND(COUNT(N51:XEN51)&lt;&gt;0,(P51)="")</formula>
    </cfRule>
  </conditionalFormatting>
  <conditionalFormatting sqref="P50">
    <cfRule type="expression" dxfId="25" priority="18">
      <formula>AND(COUNT(L48:XEN48)&lt;&gt;0,(P50)="")</formula>
    </cfRule>
  </conditionalFormatting>
  <conditionalFormatting sqref="P50">
    <cfRule type="expression" dxfId="24" priority="19">
      <formula>AND($AK48&lt;&gt;"",ISBLANK($E48:$AG48))</formula>
    </cfRule>
  </conditionalFormatting>
  <conditionalFormatting sqref="P52:P57">
    <cfRule type="expression" dxfId="23" priority="16">
      <formula>AND(COUNT(L50:XEN50)&lt;&gt;0,(P52)="")</formula>
    </cfRule>
  </conditionalFormatting>
  <conditionalFormatting sqref="P52:P57">
    <cfRule type="expression" dxfId="22" priority="17">
      <formula>AND($AK50&lt;&gt;"",ISBLANK($E50:$AG50))</formula>
    </cfRule>
  </conditionalFormatting>
  <conditionalFormatting sqref="C89:N89">
    <cfRule type="containsBlanks" dxfId="21" priority="13">
      <formula>LEN(TRIM(C89))=0</formula>
    </cfRule>
  </conditionalFormatting>
  <conditionalFormatting sqref="C90:N90">
    <cfRule type="containsBlanks" dxfId="20" priority="12">
      <formula>LEN(TRIM(C90))=0</formula>
    </cfRule>
  </conditionalFormatting>
  <conditionalFormatting sqref="C91:N91">
    <cfRule type="containsBlanks" dxfId="19" priority="11">
      <formula>LEN(TRIM(C91))=0</formula>
    </cfRule>
  </conditionalFormatting>
  <conditionalFormatting sqref="C93:N93">
    <cfRule type="containsBlanks" dxfId="18" priority="10">
      <formula>LEN(TRIM(C93))=0</formula>
    </cfRule>
  </conditionalFormatting>
  <conditionalFormatting sqref="C94:N94">
    <cfRule type="containsBlanks" dxfId="17" priority="9">
      <formula>LEN(TRIM(C94))=0</formula>
    </cfRule>
  </conditionalFormatting>
  <conditionalFormatting sqref="C95:N95">
    <cfRule type="containsBlanks" dxfId="16" priority="8">
      <formula>LEN(TRIM(C95))=0</formula>
    </cfRule>
  </conditionalFormatting>
  <conditionalFormatting sqref="C99:N99">
    <cfRule type="containsBlanks" dxfId="15" priority="7">
      <formula>LEN(TRIM(C99))=0</formula>
    </cfRule>
  </conditionalFormatting>
  <conditionalFormatting sqref="C100:N100">
    <cfRule type="containsBlanks" dxfId="14" priority="6">
      <formula>LEN(TRIM(C100))=0</formula>
    </cfRule>
  </conditionalFormatting>
  <conditionalFormatting sqref="C101:N101">
    <cfRule type="containsBlanks" dxfId="13" priority="5">
      <formula>LEN(TRIM(C101))=0</formula>
    </cfRule>
  </conditionalFormatting>
  <conditionalFormatting sqref="C102:N102">
    <cfRule type="containsBlanks" dxfId="12" priority="4">
      <formula>LEN(TRIM(C102))=0</formula>
    </cfRule>
  </conditionalFormatting>
  <conditionalFormatting sqref="C7:N19">
    <cfRule type="containsBlanks" dxfId="11" priority="3">
      <formula>LEN(TRIM(C7))=0</formula>
    </cfRule>
  </conditionalFormatting>
  <dataValidations disablePrompts="1" count="2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7:P18 P51:P57 P19" xr:uid="{76AA4C3D-068A-4DF5-83AF-A8EEBF578B7A}">
      <formula1>AND(LEN(O7)&lt;21,ISERROR(SEARCH("&amp;",O7))=TRUE,ISERROR(SEARCH(" ",O7))=TRUE,ISERROR(SEARCH("/",O7))=TRUE,ISERROR(SEARCH(";",O7))=TRUE,ISERROR(SEARCH("=",O7))=TRUE,ISERROR(SEARCH("'",O7))=TRUE)</formula1>
    </dataValidation>
    <dataValidation type="custom" allowBlank="1" showInputMessage="1" showErrorMessage="1" error="Invalid source name, please refer to the guidelines" sqref="O2:O3" xr:uid="{75D9AE00-396C-4861-88F9-8335D4282073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D71B-0D05-404A-9979-9DA7CD8C2316}">
  <sheetPr>
    <tabColor rgb="FFFF0000"/>
  </sheetPr>
  <dimension ref="A2:P22"/>
  <sheetViews>
    <sheetView zoomScale="82" zoomScaleNormal="110" workbookViewId="0">
      <selection activeCell="A6" sqref="A6:N21"/>
    </sheetView>
  </sheetViews>
  <sheetFormatPr defaultRowHeight="14.4" x14ac:dyDescent="0.3"/>
  <cols>
    <col min="1" max="1" width="24.6640625" customWidth="1"/>
    <col min="2" max="2" width="12" customWidth="1"/>
    <col min="16" max="16" width="24" customWidth="1"/>
  </cols>
  <sheetData>
    <row r="2" spans="1:16" ht="25.8" x14ac:dyDescent="0.3">
      <c r="A2" s="428" t="s">
        <v>1170</v>
      </c>
      <c r="B2" s="428"/>
      <c r="C2" s="428" t="s">
        <v>1171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6"/>
      <c r="O2" s="46"/>
      <c r="P2" s="46"/>
    </row>
    <row r="3" spans="1:16" ht="15.6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" x14ac:dyDescent="0.3">
      <c r="A4" s="2" t="s">
        <v>1172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.6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.6" x14ac:dyDescent="0.3">
      <c r="A6" s="78"/>
      <c r="B6" s="78" t="s">
        <v>56</v>
      </c>
      <c r="C6" s="78" t="s">
        <v>498</v>
      </c>
      <c r="D6" s="78" t="s">
        <v>499</v>
      </c>
      <c r="E6" s="78" t="s">
        <v>500</v>
      </c>
      <c r="F6" s="78" t="s">
        <v>501</v>
      </c>
      <c r="G6" s="78" t="s">
        <v>502</v>
      </c>
      <c r="H6" s="78" t="s">
        <v>503</v>
      </c>
      <c r="I6" s="78" t="s">
        <v>504</v>
      </c>
      <c r="J6" s="78" t="s">
        <v>505</v>
      </c>
      <c r="K6" s="78" t="s">
        <v>506</v>
      </c>
      <c r="L6" s="78" t="s">
        <v>507</v>
      </c>
      <c r="M6" s="78" t="s">
        <v>508</v>
      </c>
      <c r="N6" s="78" t="s">
        <v>509</v>
      </c>
      <c r="O6" s="78" t="s">
        <v>57</v>
      </c>
      <c r="P6" s="107" t="s">
        <v>58</v>
      </c>
    </row>
    <row r="7" spans="1:16" ht="15.6" x14ac:dyDescent="0.3">
      <c r="A7" s="213" t="s">
        <v>1173</v>
      </c>
      <c r="B7" s="186" t="s">
        <v>1174</v>
      </c>
      <c r="C7" s="17">
        <v>54.9</v>
      </c>
      <c r="D7" s="17">
        <v>88.02</v>
      </c>
      <c r="E7" s="17">
        <v>84.77</v>
      </c>
      <c r="F7" s="17">
        <v>87.86</v>
      </c>
      <c r="G7" s="17">
        <v>64.69</v>
      </c>
      <c r="H7" s="17" t="s">
        <v>1175</v>
      </c>
      <c r="I7" s="17" t="s">
        <v>1175</v>
      </c>
      <c r="J7" s="17">
        <v>78.14</v>
      </c>
      <c r="K7" s="17">
        <v>84.13</v>
      </c>
      <c r="L7" s="17">
        <v>75.83</v>
      </c>
      <c r="M7" s="17">
        <v>83.9</v>
      </c>
      <c r="N7" s="17">
        <v>101.16</v>
      </c>
      <c r="O7" s="18" t="s">
        <v>8</v>
      </c>
      <c r="P7" s="18" t="s">
        <v>1176</v>
      </c>
    </row>
    <row r="8" spans="1:16" ht="15.6" x14ac:dyDescent="0.3">
      <c r="A8" s="213" t="s">
        <v>1177</v>
      </c>
      <c r="B8" s="186" t="s">
        <v>1174</v>
      </c>
      <c r="C8" s="17">
        <v>11.12</v>
      </c>
      <c r="D8" s="17">
        <v>11.28</v>
      </c>
      <c r="E8" s="17">
        <v>13.04</v>
      </c>
      <c r="F8" s="17">
        <v>15.15</v>
      </c>
      <c r="G8" s="17">
        <v>15.06</v>
      </c>
      <c r="H8" s="17">
        <v>14.52</v>
      </c>
      <c r="I8" s="17">
        <v>12.76</v>
      </c>
      <c r="J8" s="17">
        <v>12.79</v>
      </c>
      <c r="K8" s="17">
        <v>13.01</v>
      </c>
      <c r="L8" s="17">
        <v>14.26</v>
      </c>
      <c r="M8" s="17">
        <v>14.53</v>
      </c>
      <c r="N8" s="17">
        <v>17.02</v>
      </c>
      <c r="O8" s="18" t="s">
        <v>8</v>
      </c>
      <c r="P8" s="18" t="s">
        <v>1176</v>
      </c>
    </row>
    <row r="9" spans="1:16" ht="15.6" x14ac:dyDescent="0.3">
      <c r="A9" s="213" t="s">
        <v>1178</v>
      </c>
      <c r="B9" s="186" t="s">
        <v>1174</v>
      </c>
      <c r="C9" s="17">
        <v>33.619999999999997</v>
      </c>
      <c r="D9" s="17">
        <v>31</v>
      </c>
      <c r="E9" s="17">
        <v>37.64</v>
      </c>
      <c r="F9" s="17">
        <v>40.19</v>
      </c>
      <c r="G9" s="17">
        <v>40.270000000000003</v>
      </c>
      <c r="H9" s="17">
        <v>39</v>
      </c>
      <c r="I9" s="17">
        <v>40.67</v>
      </c>
      <c r="J9" s="17">
        <v>34.01</v>
      </c>
      <c r="K9" s="17">
        <v>41.93</v>
      </c>
      <c r="L9" s="17">
        <v>40.78</v>
      </c>
      <c r="M9" s="17">
        <v>54.23</v>
      </c>
      <c r="N9" s="17">
        <v>43.93</v>
      </c>
      <c r="O9" s="18" t="s">
        <v>8</v>
      </c>
      <c r="P9" s="18" t="s">
        <v>1176</v>
      </c>
    </row>
    <row r="10" spans="1:16" ht="15.6" x14ac:dyDescent="0.3">
      <c r="A10" s="213" t="s">
        <v>1179</v>
      </c>
      <c r="B10" s="186" t="s">
        <v>1174</v>
      </c>
      <c r="C10" s="17">
        <v>102.39</v>
      </c>
      <c r="D10" s="17">
        <v>100.83</v>
      </c>
      <c r="E10" s="17">
        <v>101.07</v>
      </c>
      <c r="F10" s="17">
        <v>124.66</v>
      </c>
      <c r="G10" s="17">
        <v>98.34</v>
      </c>
      <c r="H10" s="17" t="s">
        <v>1175</v>
      </c>
      <c r="I10" s="17" t="s">
        <v>1175</v>
      </c>
      <c r="J10" s="17" t="s">
        <v>1180</v>
      </c>
      <c r="K10" s="17" t="s">
        <v>1180</v>
      </c>
      <c r="L10" s="17" t="s">
        <v>1180</v>
      </c>
      <c r="M10" s="17" t="s">
        <v>1180</v>
      </c>
      <c r="N10" s="17" t="s">
        <v>1180</v>
      </c>
      <c r="O10" s="18" t="s">
        <v>8</v>
      </c>
      <c r="P10" s="18" t="s">
        <v>1176</v>
      </c>
    </row>
    <row r="11" spans="1:16" ht="15.6" x14ac:dyDescent="0.3">
      <c r="A11" s="213" t="s">
        <v>1181</v>
      </c>
      <c r="B11" s="186" t="s">
        <v>1182</v>
      </c>
      <c r="C11" s="17">
        <v>24.29</v>
      </c>
      <c r="D11" s="17">
        <v>24.17</v>
      </c>
      <c r="E11" s="17">
        <v>25.57</v>
      </c>
      <c r="F11" s="17">
        <v>23.81</v>
      </c>
      <c r="G11" s="17">
        <v>26.74</v>
      </c>
      <c r="H11" s="17">
        <v>25.1</v>
      </c>
      <c r="I11" s="17">
        <v>24.72</v>
      </c>
      <c r="J11" s="17">
        <v>26.12</v>
      </c>
      <c r="K11" s="17">
        <v>37.76</v>
      </c>
      <c r="L11" s="17">
        <v>41.96</v>
      </c>
      <c r="M11" s="17">
        <v>38.25</v>
      </c>
      <c r="N11" s="17">
        <v>40.53</v>
      </c>
      <c r="O11" s="18" t="s">
        <v>8</v>
      </c>
      <c r="P11" s="18" t="s">
        <v>1176</v>
      </c>
    </row>
    <row r="12" spans="1:16" ht="15.6" x14ac:dyDescent="0.3">
      <c r="A12" s="213" t="s">
        <v>1183</v>
      </c>
      <c r="B12" s="186" t="s">
        <v>1184</v>
      </c>
      <c r="C12" s="17">
        <v>12.53</v>
      </c>
      <c r="D12" s="17">
        <v>12.97</v>
      </c>
      <c r="E12" s="17">
        <v>15.84</v>
      </c>
      <c r="F12" s="17">
        <v>12.42</v>
      </c>
      <c r="G12" s="17">
        <v>11.58</v>
      </c>
      <c r="H12" s="17">
        <v>11.23</v>
      </c>
      <c r="I12" s="17">
        <v>12.17</v>
      </c>
      <c r="J12" s="17">
        <v>11.23</v>
      </c>
      <c r="K12" s="17">
        <v>11.31</v>
      </c>
      <c r="L12" s="17">
        <v>13.47</v>
      </c>
      <c r="M12" s="17">
        <v>12.34</v>
      </c>
      <c r="N12" s="17">
        <v>11.63</v>
      </c>
      <c r="O12" s="18" t="s">
        <v>8</v>
      </c>
      <c r="P12" s="18" t="s">
        <v>1176</v>
      </c>
    </row>
    <row r="13" spans="1:16" ht="15.6" x14ac:dyDescent="0.3">
      <c r="A13" s="213" t="s">
        <v>1185</v>
      </c>
      <c r="B13" s="186" t="s">
        <v>1184</v>
      </c>
      <c r="C13" s="17">
        <v>7.03</v>
      </c>
      <c r="D13" s="17">
        <v>9.7200000000000006</v>
      </c>
      <c r="E13" s="17">
        <v>14.98</v>
      </c>
      <c r="F13" s="17">
        <v>9.0399999999999991</v>
      </c>
      <c r="G13" s="17">
        <v>11.39</v>
      </c>
      <c r="H13" s="17">
        <v>8.17</v>
      </c>
      <c r="I13" s="17">
        <v>10.67</v>
      </c>
      <c r="J13" s="17">
        <v>7.24</v>
      </c>
      <c r="K13" s="17">
        <v>11.95</v>
      </c>
      <c r="L13" s="17">
        <v>9.25</v>
      </c>
      <c r="M13" s="17">
        <v>11.42</v>
      </c>
      <c r="N13" s="17">
        <v>8.93</v>
      </c>
      <c r="O13" s="18" t="s">
        <v>8</v>
      </c>
      <c r="P13" s="18" t="s">
        <v>1176</v>
      </c>
    </row>
    <row r="14" spans="1:16" ht="15.6" x14ac:dyDescent="0.3">
      <c r="A14" s="213" t="s">
        <v>1186</v>
      </c>
      <c r="B14" s="186" t="s">
        <v>1187</v>
      </c>
      <c r="C14" s="17">
        <v>283.38</v>
      </c>
      <c r="D14" s="17">
        <v>312.77999999999997</v>
      </c>
      <c r="E14" s="17">
        <v>369.7</v>
      </c>
      <c r="F14" s="17">
        <v>370.4</v>
      </c>
      <c r="G14" s="17">
        <v>373.15</v>
      </c>
      <c r="H14" s="17">
        <v>335.1</v>
      </c>
      <c r="I14" s="17">
        <v>261.64999999999998</v>
      </c>
      <c r="J14" s="17">
        <v>289.77</v>
      </c>
      <c r="K14" s="17">
        <v>325.45</v>
      </c>
      <c r="L14" s="17">
        <v>328.09</v>
      </c>
      <c r="M14" s="17">
        <v>262.42</v>
      </c>
      <c r="N14" s="17">
        <v>422.69</v>
      </c>
      <c r="O14" s="18" t="s">
        <v>8</v>
      </c>
      <c r="P14" s="18" t="s">
        <v>1176</v>
      </c>
    </row>
    <row r="15" spans="1:16" ht="15.6" x14ac:dyDescent="0.3">
      <c r="A15" s="213" t="s">
        <v>1188</v>
      </c>
      <c r="B15" s="186" t="s">
        <v>1174</v>
      </c>
      <c r="C15" s="17">
        <v>282.81</v>
      </c>
      <c r="D15" s="17">
        <v>471.96</v>
      </c>
      <c r="E15" s="17">
        <v>565.44000000000005</v>
      </c>
      <c r="F15" s="17">
        <v>490.96</v>
      </c>
      <c r="G15" s="17">
        <v>453.92</v>
      </c>
      <c r="H15" s="17">
        <v>437</v>
      </c>
      <c r="I15" s="17">
        <v>340.38</v>
      </c>
      <c r="J15" s="17">
        <v>400.87</v>
      </c>
      <c r="K15" s="17">
        <v>467.62</v>
      </c>
      <c r="L15" s="17">
        <v>477.19</v>
      </c>
      <c r="M15" s="17">
        <v>358.51</v>
      </c>
      <c r="N15" s="17">
        <v>512.71</v>
      </c>
      <c r="O15" s="18" t="s">
        <v>8</v>
      </c>
      <c r="P15" s="18" t="s">
        <v>1176</v>
      </c>
    </row>
    <row r="16" spans="1:16" ht="15.6" x14ac:dyDescent="0.3">
      <c r="A16" s="213" t="s">
        <v>1189</v>
      </c>
      <c r="B16" s="186" t="s">
        <v>1174</v>
      </c>
      <c r="C16" s="17">
        <v>296.61</v>
      </c>
      <c r="D16" s="17">
        <v>407.33</v>
      </c>
      <c r="E16" s="17">
        <v>484.64</v>
      </c>
      <c r="F16" s="17">
        <v>458.79</v>
      </c>
      <c r="G16" s="17">
        <v>439.44</v>
      </c>
      <c r="H16" s="17">
        <v>283.01</v>
      </c>
      <c r="I16" s="17">
        <v>286.82</v>
      </c>
      <c r="J16" s="17">
        <v>336.38</v>
      </c>
      <c r="K16" s="17">
        <v>381.7</v>
      </c>
      <c r="L16" s="17">
        <v>381.2</v>
      </c>
      <c r="M16" s="17">
        <v>326.49</v>
      </c>
      <c r="N16" s="17">
        <v>467.36</v>
      </c>
      <c r="O16" s="18" t="s">
        <v>8</v>
      </c>
      <c r="P16" s="18" t="s">
        <v>1176</v>
      </c>
    </row>
    <row r="17" spans="1:16" ht="15.6" x14ac:dyDescent="0.3">
      <c r="A17" s="213" t="s">
        <v>1190</v>
      </c>
      <c r="B17" s="186" t="s">
        <v>1174</v>
      </c>
      <c r="C17" s="17">
        <v>444.38</v>
      </c>
      <c r="D17" s="17">
        <v>651.64</v>
      </c>
      <c r="E17" s="17">
        <v>693.93</v>
      </c>
      <c r="F17" s="17">
        <v>726.17</v>
      </c>
      <c r="G17" s="17">
        <v>686.97</v>
      </c>
      <c r="H17" s="17">
        <v>550.49</v>
      </c>
      <c r="I17" s="17">
        <v>487.41</v>
      </c>
      <c r="J17" s="17">
        <v>601.28</v>
      </c>
      <c r="K17" s="17">
        <v>586.91</v>
      </c>
      <c r="L17" s="17">
        <v>572.97</v>
      </c>
      <c r="M17" s="17">
        <v>425.02</v>
      </c>
      <c r="N17" s="17">
        <v>495.92</v>
      </c>
      <c r="O17" s="18" t="s">
        <v>8</v>
      </c>
      <c r="P17" s="18" t="s">
        <v>1176</v>
      </c>
    </row>
    <row r="18" spans="1:16" ht="15.6" x14ac:dyDescent="0.3">
      <c r="A18" s="213" t="s">
        <v>1191</v>
      </c>
      <c r="B18" s="186" t="s">
        <v>1174</v>
      </c>
      <c r="C18" s="17">
        <v>921.48</v>
      </c>
      <c r="D18" s="17">
        <v>1160.01</v>
      </c>
      <c r="E18" s="17">
        <v>1137.25</v>
      </c>
      <c r="F18" s="17">
        <v>1139.04</v>
      </c>
      <c r="G18" s="17">
        <v>1039.0899999999999</v>
      </c>
      <c r="H18" s="17">
        <v>865.86</v>
      </c>
      <c r="I18" s="17">
        <v>957.19</v>
      </c>
      <c r="J18" s="17">
        <v>1032.75</v>
      </c>
      <c r="K18" s="17">
        <v>1051.3900000000001</v>
      </c>
      <c r="L18" s="17">
        <v>1074.6199999999999</v>
      </c>
      <c r="M18" s="17">
        <v>950.52</v>
      </c>
      <c r="N18" s="17">
        <v>1062.79</v>
      </c>
      <c r="O18" s="18" t="s">
        <v>8</v>
      </c>
      <c r="P18" s="18" t="s">
        <v>1176</v>
      </c>
    </row>
    <row r="19" spans="1:16" ht="15.6" x14ac:dyDescent="0.3">
      <c r="A19" s="213" t="s">
        <v>1192</v>
      </c>
      <c r="B19" s="186" t="s">
        <v>1174</v>
      </c>
      <c r="C19" s="17">
        <v>1123.95</v>
      </c>
      <c r="D19" s="17">
        <v>1326.71</v>
      </c>
      <c r="E19" s="17">
        <v>1363</v>
      </c>
      <c r="F19" s="17">
        <v>1331.6</v>
      </c>
      <c r="G19" s="17">
        <v>1290.04</v>
      </c>
      <c r="H19" s="17">
        <v>1187.81</v>
      </c>
      <c r="I19" s="17">
        <v>1142.9000000000001</v>
      </c>
      <c r="J19" s="17">
        <v>1253.78</v>
      </c>
      <c r="K19" s="17">
        <v>1278.4000000000001</v>
      </c>
      <c r="L19" s="17">
        <v>1295.21</v>
      </c>
      <c r="M19" s="17">
        <v>1318.35</v>
      </c>
      <c r="N19" s="17">
        <v>1402.62</v>
      </c>
      <c r="O19" s="18" t="s">
        <v>8</v>
      </c>
      <c r="P19" s="18" t="s">
        <v>1176</v>
      </c>
    </row>
    <row r="20" spans="1:16" ht="15.6" x14ac:dyDescent="0.3">
      <c r="A20" s="213" t="s">
        <v>544</v>
      </c>
      <c r="B20" s="186" t="s">
        <v>1193</v>
      </c>
      <c r="C20" s="17">
        <v>67.81</v>
      </c>
      <c r="D20" s="17">
        <v>72.53</v>
      </c>
      <c r="E20" s="17">
        <v>77.36</v>
      </c>
      <c r="F20" s="17">
        <v>87.18</v>
      </c>
      <c r="G20" s="17">
        <v>83.18</v>
      </c>
      <c r="H20" s="17">
        <v>82.02</v>
      </c>
      <c r="I20" s="17">
        <v>79</v>
      </c>
      <c r="J20" s="17">
        <v>76.510000000000005</v>
      </c>
      <c r="K20" s="17">
        <v>76.69</v>
      </c>
      <c r="L20" s="17">
        <v>77.12</v>
      </c>
      <c r="M20" s="17">
        <v>75.83</v>
      </c>
      <c r="N20" s="17">
        <v>91.01</v>
      </c>
      <c r="O20" s="18" t="s">
        <v>8</v>
      </c>
      <c r="P20" s="18" t="s">
        <v>1176</v>
      </c>
    </row>
    <row r="21" spans="1:16" ht="15.6" x14ac:dyDescent="0.3">
      <c r="A21" s="213" t="s">
        <v>543</v>
      </c>
      <c r="B21" s="186" t="s">
        <v>1193</v>
      </c>
      <c r="C21" s="17">
        <v>44.29</v>
      </c>
      <c r="D21" s="17">
        <v>44.45</v>
      </c>
      <c r="E21" s="17">
        <v>52.69</v>
      </c>
      <c r="F21" s="17">
        <v>55.61</v>
      </c>
      <c r="G21" s="17">
        <v>60.12</v>
      </c>
      <c r="H21" s="17">
        <v>56.19</v>
      </c>
      <c r="I21" s="17">
        <v>53.75</v>
      </c>
      <c r="J21" s="17">
        <v>57.12</v>
      </c>
      <c r="K21" s="17">
        <v>65.010000000000005</v>
      </c>
      <c r="L21" s="17">
        <v>64.260000000000005</v>
      </c>
      <c r="M21" s="17">
        <v>57.72</v>
      </c>
      <c r="N21" s="17">
        <v>60.73</v>
      </c>
      <c r="O21" s="18" t="s">
        <v>8</v>
      </c>
      <c r="P21" s="18" t="s">
        <v>1176</v>
      </c>
    </row>
    <row r="22" spans="1:16" ht="15.6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</sheetData>
  <mergeCells count="3">
    <mergeCell ref="A2:E2"/>
    <mergeCell ref="F2:I2"/>
    <mergeCell ref="J2:M2"/>
  </mergeCells>
  <phoneticPr fontId="74" type="noConversion"/>
  <conditionalFormatting sqref="C7:N21">
    <cfRule type="containsBlanks" dxfId="10" priority="5">
      <formula>LEN(TRIM(C7))=0</formula>
    </cfRule>
  </conditionalFormatting>
  <conditionalFormatting sqref="O8:P21">
    <cfRule type="expression" dxfId="9" priority="4">
      <formula>AND($AL6&lt;&gt;"",ISBLANK($F6:$AH6))</formula>
    </cfRule>
  </conditionalFormatting>
  <conditionalFormatting sqref="O7:P21">
    <cfRule type="expression" dxfId="8" priority="2820">
      <formula>AND(COUNT(K4:XEM4)&lt;&gt;0,(O7)="")</formula>
    </cfRule>
  </conditionalFormatting>
  <conditionalFormatting sqref="O7:P7">
    <cfRule type="expression" dxfId="7" priority="2821">
      <formula>AND($AL4&lt;&gt;"",ISBLANK($F4:$AH4))</formula>
    </cfRule>
  </conditionalFormatting>
  <dataValidations count="1">
    <dataValidation type="custom" allowBlank="1" showInputMessage="1" showErrorMessage="1" error="Invalid source name, please refer to the guidelines" sqref="O6" xr:uid="{B179A698-209A-46D2-917D-2D343F2490A3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3B68-ACB3-4631-9726-88B041FD351C}">
  <dimension ref="B1:R416"/>
  <sheetViews>
    <sheetView zoomScale="91" zoomScaleNormal="91" workbookViewId="0">
      <selection activeCell="C37" sqref="C37"/>
    </sheetView>
  </sheetViews>
  <sheetFormatPr defaultRowHeight="14.4" x14ac:dyDescent="0.3"/>
  <cols>
    <col min="2" max="2" width="33.33203125" customWidth="1"/>
    <col min="3" max="3" width="32.5546875" customWidth="1"/>
    <col min="5" max="5" width="11" customWidth="1"/>
    <col min="6" max="6" width="11.5546875" customWidth="1"/>
    <col min="7" max="7" width="10.33203125" customWidth="1"/>
    <col min="15" max="15" width="13.109375" customWidth="1"/>
  </cols>
  <sheetData>
    <row r="1" spans="2:7" x14ac:dyDescent="0.3">
      <c r="C1" s="284"/>
      <c r="D1" s="284"/>
      <c r="E1" s="284"/>
      <c r="F1" s="284"/>
      <c r="G1" s="284"/>
    </row>
    <row r="2" spans="2:7" ht="15.6" x14ac:dyDescent="0.3">
      <c r="B2" s="358" t="s">
        <v>1194</v>
      </c>
      <c r="C2" s="244" t="s">
        <v>1195</v>
      </c>
    </row>
    <row r="5" spans="2:7" x14ac:dyDescent="0.3">
      <c r="B5" s="359" t="s">
        <v>1196</v>
      </c>
    </row>
    <row r="22" spans="2:18" ht="15.6" x14ac:dyDescent="0.3">
      <c r="B22" s="149"/>
      <c r="C22" s="250" t="s">
        <v>498</v>
      </c>
      <c r="D22" s="250" t="s">
        <v>499</v>
      </c>
      <c r="E22" s="250" t="s">
        <v>500</v>
      </c>
      <c r="F22" s="250" t="s">
        <v>501</v>
      </c>
      <c r="G22" s="250" t="s">
        <v>502</v>
      </c>
      <c r="H22" s="250" t="s">
        <v>503</v>
      </c>
      <c r="I22" s="250" t="s">
        <v>504</v>
      </c>
      <c r="J22" s="250" t="s">
        <v>505</v>
      </c>
      <c r="K22" s="250" t="s">
        <v>506</v>
      </c>
      <c r="L22" s="250" t="s">
        <v>507</v>
      </c>
      <c r="M22" s="250" t="s">
        <v>508</v>
      </c>
      <c r="N22" s="250" t="s">
        <v>509</v>
      </c>
    </row>
    <row r="23" spans="2:18" x14ac:dyDescent="0.3">
      <c r="B23" s="149" t="s">
        <v>1197</v>
      </c>
      <c r="C23" s="190">
        <f>' Macroeconomy (ktoe)'!C10</f>
        <v>14741.1</v>
      </c>
      <c r="D23" s="190">
        <f>' Macroeconomy (ktoe)'!D10</f>
        <v>16677.3</v>
      </c>
      <c r="E23" s="190">
        <f>' Macroeconomy (ktoe)'!E10</f>
        <v>17916.7</v>
      </c>
      <c r="F23" s="190">
        <f>' Macroeconomy (ktoe)'!F10</f>
        <v>18910.8</v>
      </c>
      <c r="G23" s="190">
        <f>' Macroeconomy (ktoe)'!G10</f>
        <v>20048.2</v>
      </c>
      <c r="H23" s="190">
        <f>' Macroeconomy (ktoe)'!H10</f>
        <v>20631.400000000001</v>
      </c>
      <c r="I23" s="190">
        <f>' Macroeconomy (ktoe)'!I10</f>
        <v>21747.9</v>
      </c>
      <c r="J23" s="190">
        <f>' Macroeconomy (ktoe)'!J10</f>
        <v>23833.599999999999</v>
      </c>
      <c r="K23" s="190">
        <f>' Macroeconomy (ktoe)'!K10</f>
        <v>25932.2</v>
      </c>
      <c r="L23" s="190">
        <f>' Macroeconomy (ktoe)'!L10</f>
        <v>27764.7</v>
      </c>
      <c r="M23" s="190">
        <f>' Macroeconomy (ktoe)'!M10</f>
        <v>27465</v>
      </c>
      <c r="N23" s="190">
        <f>' Macroeconomy (ktoe)'!N10</f>
        <v>31444.9</v>
      </c>
    </row>
    <row r="24" spans="2:18" x14ac:dyDescent="0.3">
      <c r="B24" s="149" t="s">
        <v>1198</v>
      </c>
      <c r="C24" s="190">
        <f>' Macroeconomy (ktoe)'!C21</f>
        <v>3601.1526000000003</v>
      </c>
      <c r="D24" s="190">
        <f>' Macroeconomy (ktoe)'!D21</f>
        <v>4289.7894999999999</v>
      </c>
      <c r="E24" s="190">
        <f>' Macroeconomy (ktoe)'!E21</f>
        <v>4526.9001999999991</v>
      </c>
      <c r="F24" s="190">
        <f>' Macroeconomy (ktoe)'!F21</f>
        <v>4793.8828999999996</v>
      </c>
      <c r="G24" s="190">
        <f>' Macroeconomy (ktoe)'!G21</f>
        <v>4966.4763999999996</v>
      </c>
      <c r="H24" s="190">
        <f>' Macroeconomy (ktoe)'!H21</f>
        <v>4923.3197</v>
      </c>
      <c r="I24" s="190">
        <f>' Macroeconomy (ktoe)'!I21</f>
        <v>5229.7999999999993</v>
      </c>
      <c r="J24" s="190">
        <f>' Macroeconomy (ktoe)'!J21</f>
        <v>5719.7999999999993</v>
      </c>
      <c r="K24" s="190">
        <f>' Macroeconomy (ktoe)'!K21</f>
        <v>6230.0000000000009</v>
      </c>
      <c r="L24" s="190">
        <f>' Macroeconomy (ktoe)'!L21</f>
        <v>6371.8</v>
      </c>
      <c r="M24" s="190">
        <f>' Macroeconomy (ktoe)'!M21</f>
        <v>6256.4000000000005</v>
      </c>
      <c r="N24" s="190">
        <f>' Macroeconomy (ktoe)'!N21</f>
        <v>7265.8</v>
      </c>
      <c r="O24" s="246"/>
      <c r="P24" s="246"/>
      <c r="R24" s="253"/>
    </row>
    <row r="25" spans="2:18" x14ac:dyDescent="0.3">
      <c r="B25" s="149" t="s">
        <v>1199</v>
      </c>
      <c r="C25" s="190">
        <f>' Macroeconomy (ktoe)'!C30</f>
        <v>7943.0469999999996</v>
      </c>
      <c r="D25" s="190">
        <f>' Macroeconomy (ktoe)'!D30</f>
        <v>8609.0694999999996</v>
      </c>
      <c r="E25" s="190">
        <f>' Macroeconomy (ktoe)'!E30</f>
        <v>9377.1087000000007</v>
      </c>
      <c r="F25" s="190">
        <f>' Macroeconomy (ktoe)'!F30</f>
        <v>10020.5933</v>
      </c>
      <c r="G25" s="190">
        <f>' Macroeconomy (ktoe)'!G30</f>
        <v>10488.3693</v>
      </c>
      <c r="H25" s="190">
        <f>' Macroeconomy (ktoe)'!H30</f>
        <v>10772.8</v>
      </c>
      <c r="I25" s="190">
        <f>' Macroeconomy (ktoe)'!I30</f>
        <v>11259</v>
      </c>
      <c r="J25" s="190">
        <f>' Macroeconomy (ktoe)'!J30</f>
        <v>12024.9</v>
      </c>
      <c r="K25" s="190">
        <f>' Macroeconomy (ktoe)'!K30</f>
        <v>12929.8</v>
      </c>
      <c r="L25" s="190">
        <f>' Macroeconomy (ktoe)'!L30</f>
        <v>13726.7</v>
      </c>
      <c r="M25" s="190">
        <f>' Macroeconomy (ktoe)'!M30</f>
        <v>13204.5</v>
      </c>
      <c r="N25" s="190">
        <f>' Macroeconomy (ktoe)'!N30</f>
        <v>14625.5</v>
      </c>
    </row>
    <row r="30" spans="2:18" x14ac:dyDescent="0.3">
      <c r="B30" s="359" t="s">
        <v>1200</v>
      </c>
      <c r="C30" s="258" t="s">
        <v>1201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</row>
    <row r="31" spans="2:18" x14ac:dyDescent="0.3">
      <c r="B31" s="258"/>
      <c r="C31" s="258"/>
      <c r="D31" s="254">
        <v>2010</v>
      </c>
      <c r="E31" s="254">
        <v>2011</v>
      </c>
      <c r="F31" s="254">
        <v>2012</v>
      </c>
      <c r="G31" s="254">
        <v>2013</v>
      </c>
      <c r="H31" s="254">
        <v>2014</v>
      </c>
      <c r="I31" s="254">
        <v>2015</v>
      </c>
      <c r="J31" s="254">
        <v>2016</v>
      </c>
      <c r="K31" s="254">
        <v>2017</v>
      </c>
      <c r="L31" s="254">
        <v>2018</v>
      </c>
      <c r="M31" s="254">
        <v>2019</v>
      </c>
      <c r="N31" s="254">
        <v>2020</v>
      </c>
      <c r="O31" s="254">
        <v>2021</v>
      </c>
    </row>
    <row r="32" spans="2:18" x14ac:dyDescent="0.3">
      <c r="B32" s="255" t="s">
        <v>11</v>
      </c>
      <c r="C32" s="256" t="s">
        <v>1202</v>
      </c>
      <c r="D32" s="246">
        <v>467.5</v>
      </c>
      <c r="E32" s="246">
        <v>613.70000000000005</v>
      </c>
      <c r="F32" s="246">
        <v>594</v>
      </c>
      <c r="G32" s="246">
        <v>584</v>
      </c>
      <c r="H32" s="246">
        <v>634.4</v>
      </c>
      <c r="I32" s="246">
        <v>589.70000000000005</v>
      </c>
      <c r="J32" s="246">
        <v>459.7</v>
      </c>
      <c r="K32" s="246">
        <v>568.70000000000005</v>
      </c>
      <c r="L32" s="246">
        <v>541.79999999999995</v>
      </c>
      <c r="M32" s="246">
        <v>659.9</v>
      </c>
      <c r="N32" s="246">
        <v>563.1</v>
      </c>
      <c r="O32" s="246">
        <v>635.4</v>
      </c>
    </row>
    <row r="33" spans="2:15" x14ac:dyDescent="0.3">
      <c r="B33" s="255" t="s">
        <v>23</v>
      </c>
      <c r="C33" s="256" t="s">
        <v>1203</v>
      </c>
      <c r="D33" s="259">
        <v>179.4</v>
      </c>
      <c r="E33" s="259">
        <v>204</v>
      </c>
      <c r="F33" s="259">
        <v>203.5</v>
      </c>
      <c r="G33" s="259">
        <v>255.2</v>
      </c>
      <c r="H33" s="259">
        <v>270.60000000000002</v>
      </c>
      <c r="I33" s="259">
        <v>247.9</v>
      </c>
      <c r="J33" s="259">
        <v>204.2</v>
      </c>
      <c r="K33" s="259">
        <v>255.7</v>
      </c>
      <c r="L33" s="259">
        <v>244.6</v>
      </c>
      <c r="M33" s="259">
        <v>220.7</v>
      </c>
      <c r="N33" s="259">
        <v>184.2</v>
      </c>
      <c r="O33" s="259">
        <v>206.9</v>
      </c>
    </row>
    <row r="34" spans="2:15" x14ac:dyDescent="0.3">
      <c r="B34" s="255" t="s">
        <v>29</v>
      </c>
      <c r="C34" s="256" t="s">
        <v>255</v>
      </c>
      <c r="D34" s="259">
        <v>499.7</v>
      </c>
      <c r="E34" s="259">
        <v>505.7</v>
      </c>
      <c r="F34" s="259">
        <v>520.1</v>
      </c>
      <c r="G34" s="259">
        <v>645.1</v>
      </c>
      <c r="H34" s="259">
        <v>630.20000000000005</v>
      </c>
      <c r="I34" s="259">
        <v>563.79999999999995</v>
      </c>
      <c r="J34" s="259">
        <v>618.6</v>
      </c>
      <c r="K34" s="259">
        <v>663.9</v>
      </c>
      <c r="L34" s="259">
        <v>748.5</v>
      </c>
      <c r="M34" s="259">
        <v>660.6</v>
      </c>
      <c r="N34" s="259">
        <v>685.2</v>
      </c>
      <c r="O34" s="259">
        <v>855.3</v>
      </c>
    </row>
    <row r="35" spans="2:15" x14ac:dyDescent="0.3">
      <c r="B35" s="255" t="s">
        <v>1204</v>
      </c>
      <c r="C35" s="256" t="s">
        <v>1205</v>
      </c>
      <c r="D35" s="259">
        <v>69</v>
      </c>
      <c r="E35" s="259">
        <v>70.3</v>
      </c>
      <c r="F35" s="259">
        <v>72.8</v>
      </c>
      <c r="G35" s="259">
        <v>72.599999999999994</v>
      </c>
      <c r="H35" s="259">
        <v>75</v>
      </c>
      <c r="I35" s="259">
        <v>78.900000000000006</v>
      </c>
      <c r="J35" s="259">
        <v>81.099999999999994</v>
      </c>
      <c r="K35" s="259">
        <v>85.1</v>
      </c>
      <c r="L35" s="259">
        <v>87.6</v>
      </c>
      <c r="M35" s="259">
        <v>92.1</v>
      </c>
      <c r="N35" s="259">
        <v>88.7</v>
      </c>
      <c r="O35" s="259">
        <v>92.4</v>
      </c>
    </row>
    <row r="36" spans="2:15" x14ac:dyDescent="0.3">
      <c r="B36" s="255" t="s">
        <v>1206</v>
      </c>
      <c r="C36" s="256" t="s">
        <v>1207</v>
      </c>
      <c r="D36" s="259">
        <v>71.8</v>
      </c>
      <c r="E36" s="259">
        <v>64.7</v>
      </c>
      <c r="F36" s="259">
        <v>66.3</v>
      </c>
      <c r="G36" s="259">
        <v>60.1</v>
      </c>
      <c r="H36" s="259">
        <v>68.400000000000006</v>
      </c>
      <c r="I36" s="259">
        <v>65.2</v>
      </c>
      <c r="J36" s="259">
        <v>76.400000000000006</v>
      </c>
      <c r="K36" s="259">
        <v>91.4</v>
      </c>
      <c r="L36" s="259">
        <v>94</v>
      </c>
      <c r="M36" s="259">
        <v>92</v>
      </c>
      <c r="N36" s="259">
        <v>121.6</v>
      </c>
      <c r="O36" s="259">
        <v>266</v>
      </c>
    </row>
    <row r="37" spans="2:15" x14ac:dyDescent="0.3">
      <c r="B37" s="255" t="s">
        <v>1208</v>
      </c>
      <c r="C37" s="256" t="s">
        <v>1209</v>
      </c>
      <c r="D37" s="259">
        <v>750.4</v>
      </c>
      <c r="E37" s="259">
        <v>1008.7</v>
      </c>
      <c r="F37" s="259">
        <v>1154.4000000000001</v>
      </c>
      <c r="G37" s="259">
        <v>1163.5999999999999</v>
      </c>
      <c r="H37" s="259">
        <v>1079.0999999999999</v>
      </c>
      <c r="I37" s="259">
        <v>1098.5</v>
      </c>
      <c r="J37" s="259">
        <v>1229.5</v>
      </c>
      <c r="K37" s="259">
        <v>1379.7</v>
      </c>
      <c r="L37" s="259">
        <v>1561.8</v>
      </c>
      <c r="M37" s="259">
        <v>1669.8</v>
      </c>
      <c r="N37" s="259">
        <v>1651.8</v>
      </c>
      <c r="O37" s="259">
        <v>1845.8</v>
      </c>
    </row>
    <row r="38" spans="2:15" x14ac:dyDescent="0.3">
      <c r="B38" s="255" t="s">
        <v>1210</v>
      </c>
      <c r="C38" s="256" t="s">
        <v>1211</v>
      </c>
      <c r="D38" s="246">
        <v>1496.3</v>
      </c>
      <c r="E38" s="246">
        <v>1752</v>
      </c>
      <c r="F38" s="246">
        <v>1942.7</v>
      </c>
      <c r="G38" s="246">
        <v>2022.2</v>
      </c>
      <c r="H38" s="246">
        <v>2189</v>
      </c>
      <c r="I38" s="246">
        <v>2143.1</v>
      </c>
      <c r="J38" s="246">
        <v>2397.1999999999998</v>
      </c>
      <c r="K38" s="246">
        <v>2655.2</v>
      </c>
      <c r="L38" s="246">
        <v>2985.3</v>
      </c>
      <c r="M38" s="246">
        <v>3000.7</v>
      </c>
      <c r="N38" s="246">
        <v>3025.4</v>
      </c>
      <c r="O38" s="246">
        <v>3310.4</v>
      </c>
    </row>
    <row r="39" spans="2:15" x14ac:dyDescent="0.3">
      <c r="B39" s="255" t="s">
        <v>1212</v>
      </c>
      <c r="C39" s="256" t="s">
        <v>1213</v>
      </c>
      <c r="D39" s="246">
        <v>1198.0999999999999</v>
      </c>
      <c r="E39" s="246">
        <v>1347.4</v>
      </c>
      <c r="F39" s="246">
        <v>1437.2</v>
      </c>
      <c r="G39" s="246">
        <v>1517.9</v>
      </c>
      <c r="H39" s="246">
        <v>1593.5</v>
      </c>
      <c r="I39" s="246">
        <v>1563.5</v>
      </c>
      <c r="J39" s="246">
        <v>1480.5</v>
      </c>
      <c r="K39" s="246">
        <v>1571.8</v>
      </c>
      <c r="L39" s="246">
        <v>1625.2</v>
      </c>
      <c r="M39" s="246">
        <v>1648</v>
      </c>
      <c r="N39" s="246">
        <v>1494.9</v>
      </c>
      <c r="O39" s="246">
        <v>1772.9</v>
      </c>
    </row>
    <row r="40" spans="2:15" x14ac:dyDescent="0.3">
      <c r="B40" s="255" t="s">
        <v>1214</v>
      </c>
      <c r="C40" s="256" t="s">
        <v>1215</v>
      </c>
      <c r="D40" s="246">
        <v>186.4</v>
      </c>
      <c r="E40" s="246">
        <v>234.3</v>
      </c>
      <c r="F40" s="246">
        <v>269</v>
      </c>
      <c r="G40" s="246">
        <v>306.5</v>
      </c>
      <c r="H40" s="246">
        <v>329.7</v>
      </c>
      <c r="I40" s="246">
        <v>338.6</v>
      </c>
      <c r="J40" s="246">
        <v>371.4</v>
      </c>
      <c r="K40" s="246">
        <v>414.4</v>
      </c>
      <c r="L40" s="246">
        <v>445.1</v>
      </c>
      <c r="M40" s="246">
        <v>488</v>
      </c>
      <c r="N40" s="246">
        <v>310.7</v>
      </c>
      <c r="O40" s="246">
        <v>341.3</v>
      </c>
    </row>
    <row r="41" spans="2:15" x14ac:dyDescent="0.3">
      <c r="B41" s="255" t="s">
        <v>1216</v>
      </c>
      <c r="C41" s="256" t="s">
        <v>1217</v>
      </c>
      <c r="D41" s="246">
        <v>681.1</v>
      </c>
      <c r="E41" s="246">
        <v>739.5</v>
      </c>
      <c r="F41" s="246">
        <v>804.6</v>
      </c>
      <c r="G41" s="246">
        <v>849</v>
      </c>
      <c r="H41" s="246">
        <v>906</v>
      </c>
      <c r="I41" s="246">
        <v>978.2</v>
      </c>
      <c r="J41" s="246">
        <v>1056.3</v>
      </c>
      <c r="K41" s="246">
        <v>1189.0999999999999</v>
      </c>
      <c r="L41" s="246">
        <v>1402.4</v>
      </c>
      <c r="M41" s="246">
        <v>1673.4</v>
      </c>
      <c r="N41" s="246">
        <v>1883.6</v>
      </c>
      <c r="O41" s="246">
        <v>2331.3000000000002</v>
      </c>
    </row>
    <row r="42" spans="2:15" x14ac:dyDescent="0.3">
      <c r="B42" s="255" t="s">
        <v>1218</v>
      </c>
      <c r="C42" s="256" t="s">
        <v>1219</v>
      </c>
      <c r="D42" s="246">
        <v>649.4</v>
      </c>
      <c r="E42" s="246">
        <v>663.7</v>
      </c>
      <c r="F42" s="246">
        <v>699.9</v>
      </c>
      <c r="G42" s="246">
        <v>670.5</v>
      </c>
      <c r="H42" s="246">
        <v>716</v>
      </c>
      <c r="I42" s="246">
        <v>779.1</v>
      </c>
      <c r="J42" s="246">
        <v>794.9</v>
      </c>
      <c r="K42" s="246">
        <v>861</v>
      </c>
      <c r="L42" s="246">
        <v>948.1</v>
      </c>
      <c r="M42" s="246">
        <v>1126.7</v>
      </c>
      <c r="N42" s="246">
        <v>1215.9000000000001</v>
      </c>
      <c r="O42" s="246">
        <v>1268.7</v>
      </c>
    </row>
    <row r="43" spans="2:15" x14ac:dyDescent="0.3">
      <c r="B43" s="255" t="s">
        <v>1220</v>
      </c>
      <c r="C43" s="256" t="s">
        <v>1221</v>
      </c>
      <c r="D43" s="246">
        <v>1221.0999999999999</v>
      </c>
      <c r="E43" s="246">
        <v>1312.2</v>
      </c>
      <c r="F43" s="246">
        <v>1463.9</v>
      </c>
      <c r="G43" s="246">
        <v>1593.7</v>
      </c>
      <c r="H43" s="246">
        <v>1659.3</v>
      </c>
      <c r="I43" s="246">
        <v>1825.6</v>
      </c>
      <c r="J43" s="246">
        <v>1935.6</v>
      </c>
      <c r="K43" s="246">
        <v>2157.6</v>
      </c>
      <c r="L43" s="246">
        <v>2254.4</v>
      </c>
      <c r="M43" s="246">
        <v>2513.1999999999998</v>
      </c>
      <c r="N43" s="246">
        <v>2424.8000000000002</v>
      </c>
      <c r="O43" s="246">
        <v>2802.8</v>
      </c>
    </row>
    <row r="44" spans="2:15" x14ac:dyDescent="0.3">
      <c r="B44" s="255" t="s">
        <v>765</v>
      </c>
      <c r="C44" s="256" t="s">
        <v>1222</v>
      </c>
      <c r="D44" s="246">
        <v>681</v>
      </c>
      <c r="E44" s="246">
        <v>730.4</v>
      </c>
      <c r="F44" s="246">
        <v>765.4</v>
      </c>
      <c r="G44" s="246">
        <v>831.4</v>
      </c>
      <c r="H44" s="246">
        <v>886.2</v>
      </c>
      <c r="I44" s="246">
        <v>901.8</v>
      </c>
      <c r="J44" s="246">
        <v>950</v>
      </c>
      <c r="K44" s="246">
        <v>1061.2</v>
      </c>
      <c r="L44" s="246">
        <v>1202.3</v>
      </c>
      <c r="M44" s="246">
        <v>1314.8</v>
      </c>
      <c r="N44" s="246">
        <v>1473.8</v>
      </c>
      <c r="O44" s="246">
        <v>1761.7</v>
      </c>
    </row>
    <row r="45" spans="2:15" x14ac:dyDescent="0.3">
      <c r="B45" s="255" t="s">
        <v>1223</v>
      </c>
      <c r="C45" s="256" t="s">
        <v>1224</v>
      </c>
      <c r="D45" s="246">
        <v>431.3</v>
      </c>
      <c r="E45" s="246">
        <v>511.3</v>
      </c>
      <c r="F45" s="246">
        <v>591.79999999999995</v>
      </c>
      <c r="G45" s="246">
        <v>606.9</v>
      </c>
      <c r="H45" s="246">
        <v>615.20000000000005</v>
      </c>
      <c r="I45" s="246">
        <v>641</v>
      </c>
      <c r="J45" s="246">
        <v>688.5</v>
      </c>
      <c r="K45" s="246">
        <v>802.6</v>
      </c>
      <c r="L45" s="246">
        <v>899.6</v>
      </c>
      <c r="M45" s="246">
        <v>933.9</v>
      </c>
      <c r="N45" s="246">
        <v>855.8</v>
      </c>
      <c r="O45" s="246">
        <v>1012.2</v>
      </c>
    </row>
    <row r="46" spans="2:15" x14ac:dyDescent="0.3">
      <c r="B46" s="255" t="s">
        <v>1225</v>
      </c>
      <c r="C46" s="256" t="s">
        <v>1226</v>
      </c>
      <c r="D46" s="246">
        <v>871.5</v>
      </c>
      <c r="E46" s="246">
        <v>941.4</v>
      </c>
      <c r="F46" s="246">
        <v>978.7</v>
      </c>
      <c r="G46" s="246">
        <v>1054.4000000000001</v>
      </c>
      <c r="H46" s="246">
        <v>1121.8</v>
      </c>
      <c r="I46" s="246">
        <v>1197.2</v>
      </c>
      <c r="J46" s="246">
        <v>1236.8</v>
      </c>
      <c r="K46" s="246">
        <v>1323.9</v>
      </c>
      <c r="L46" s="246">
        <v>1386.7</v>
      </c>
      <c r="M46" s="246">
        <v>1502.9</v>
      </c>
      <c r="N46" s="246">
        <v>1566.7</v>
      </c>
      <c r="O46" s="246">
        <v>1667</v>
      </c>
    </row>
    <row r="47" spans="2:15" x14ac:dyDescent="0.3">
      <c r="B47" s="255" t="s">
        <v>1227</v>
      </c>
      <c r="C47" s="256" t="s">
        <v>591</v>
      </c>
      <c r="D47" s="246">
        <v>649.79999999999995</v>
      </c>
      <c r="E47" s="246">
        <v>666.9</v>
      </c>
      <c r="F47" s="246">
        <v>691.6</v>
      </c>
      <c r="G47" s="246">
        <v>752.6</v>
      </c>
      <c r="H47" s="246">
        <v>793.6</v>
      </c>
      <c r="I47" s="246">
        <v>845.4</v>
      </c>
      <c r="J47" s="246">
        <v>893.9</v>
      </c>
      <c r="K47" s="246">
        <v>957.4</v>
      </c>
      <c r="L47" s="246">
        <v>1086</v>
      </c>
      <c r="M47" s="246">
        <v>1199</v>
      </c>
      <c r="N47" s="246">
        <v>1255.0999999999999</v>
      </c>
      <c r="O47" s="246">
        <v>1322.6</v>
      </c>
    </row>
    <row r="48" spans="2:15" x14ac:dyDescent="0.3">
      <c r="B48" s="255" t="s">
        <v>1228</v>
      </c>
      <c r="C48" s="256" t="s">
        <v>1229</v>
      </c>
      <c r="D48" s="246">
        <v>477.6</v>
      </c>
      <c r="E48" s="246">
        <v>506.7</v>
      </c>
      <c r="F48" s="246">
        <v>539.20000000000005</v>
      </c>
      <c r="G48" s="246">
        <v>590.1</v>
      </c>
      <c r="H48" s="246">
        <v>643.70000000000005</v>
      </c>
      <c r="I48" s="246">
        <v>714.1</v>
      </c>
      <c r="J48" s="246">
        <v>775.8</v>
      </c>
      <c r="K48" s="246">
        <v>863.7</v>
      </c>
      <c r="L48" s="246">
        <v>959.8</v>
      </c>
      <c r="M48" s="246">
        <v>1048.4000000000001</v>
      </c>
      <c r="N48" s="246">
        <v>1174</v>
      </c>
      <c r="O48" s="246">
        <v>1394.6</v>
      </c>
    </row>
    <row r="49" spans="2:15" x14ac:dyDescent="0.3">
      <c r="B49" s="255" t="s">
        <v>1230</v>
      </c>
      <c r="C49" s="256" t="s">
        <v>1231</v>
      </c>
      <c r="D49" s="246">
        <v>176</v>
      </c>
      <c r="E49" s="246">
        <v>189.8</v>
      </c>
      <c r="F49" s="246">
        <v>216</v>
      </c>
      <c r="G49" s="246">
        <v>235.8</v>
      </c>
      <c r="H49" s="246">
        <v>258.60000000000002</v>
      </c>
      <c r="I49" s="246">
        <v>272.10000000000002</v>
      </c>
      <c r="J49" s="246">
        <v>293.3</v>
      </c>
      <c r="K49" s="246">
        <v>333.9</v>
      </c>
      <c r="L49" s="246">
        <v>374.6</v>
      </c>
      <c r="M49" s="246">
        <v>410.8</v>
      </c>
      <c r="N49" s="246">
        <v>394</v>
      </c>
      <c r="O49" s="246">
        <v>416.1</v>
      </c>
    </row>
    <row r="50" spans="2:15" x14ac:dyDescent="0.3">
      <c r="B50" s="255" t="s">
        <v>1232</v>
      </c>
      <c r="C50" s="256" t="s">
        <v>1233</v>
      </c>
      <c r="D50" s="246">
        <v>109.2</v>
      </c>
      <c r="E50" s="246">
        <v>120.2</v>
      </c>
      <c r="F50" s="246">
        <v>127.9</v>
      </c>
      <c r="G50" s="246">
        <v>150.4</v>
      </c>
      <c r="H50" s="246">
        <v>158.4</v>
      </c>
      <c r="I50" s="246">
        <v>166.5</v>
      </c>
      <c r="J50" s="246">
        <v>169.8</v>
      </c>
      <c r="K50" s="246">
        <v>182.8</v>
      </c>
      <c r="L50" s="246">
        <v>203.4</v>
      </c>
      <c r="M50" s="246">
        <v>214.1</v>
      </c>
      <c r="N50" s="246">
        <v>207.3</v>
      </c>
      <c r="O50" s="246">
        <v>247.9</v>
      </c>
    </row>
    <row r="51" spans="2:15" x14ac:dyDescent="0.3">
      <c r="B51" s="255" t="s">
        <v>1234</v>
      </c>
      <c r="C51" s="256" t="s">
        <v>1235</v>
      </c>
      <c r="D51" s="246">
        <v>4.3</v>
      </c>
      <c r="E51" s="246">
        <v>5.5</v>
      </c>
      <c r="F51" s="246">
        <v>7.8</v>
      </c>
      <c r="G51" s="246">
        <v>8.9</v>
      </c>
      <c r="H51" s="246">
        <v>10.8</v>
      </c>
      <c r="I51" s="246">
        <v>11.3</v>
      </c>
      <c r="J51" s="246">
        <v>12.2</v>
      </c>
      <c r="K51" s="246">
        <v>13</v>
      </c>
      <c r="L51" s="246">
        <v>13.6</v>
      </c>
      <c r="M51" s="246">
        <v>14.5</v>
      </c>
      <c r="N51" s="246">
        <v>14.1</v>
      </c>
      <c r="O51" s="246">
        <v>15.5</v>
      </c>
    </row>
    <row r="52" spans="2:15" x14ac:dyDescent="0.3">
      <c r="D52" s="247">
        <f>SUM(D32:D51)</f>
        <v>10870.899999999998</v>
      </c>
      <c r="E52" s="247">
        <f t="shared" ref="E52:O52" si="0">SUM(E32:E51)</f>
        <v>12188.4</v>
      </c>
      <c r="F52" s="247">
        <f t="shared" si="0"/>
        <v>13146.8</v>
      </c>
      <c r="G52" s="247">
        <f t="shared" si="0"/>
        <v>13970.9</v>
      </c>
      <c r="H52" s="247">
        <f t="shared" si="0"/>
        <v>14639.5</v>
      </c>
      <c r="I52" s="247">
        <f t="shared" si="0"/>
        <v>15021.5</v>
      </c>
      <c r="J52" s="247">
        <f t="shared" si="0"/>
        <v>15725.699999999997</v>
      </c>
      <c r="K52" s="247">
        <f t="shared" si="0"/>
        <v>17432.100000000002</v>
      </c>
      <c r="L52" s="247">
        <f t="shared" si="0"/>
        <v>19064.799999999996</v>
      </c>
      <c r="M52" s="247">
        <f t="shared" si="0"/>
        <v>20483.499999999996</v>
      </c>
      <c r="N52" s="247">
        <f t="shared" si="0"/>
        <v>20590.699999999993</v>
      </c>
      <c r="O52" s="247">
        <f t="shared" si="0"/>
        <v>23566.799999999999</v>
      </c>
    </row>
    <row r="53" spans="2:15" x14ac:dyDescent="0.3">
      <c r="C53" s="256" t="s">
        <v>558</v>
      </c>
    </row>
    <row r="54" spans="2:15" x14ac:dyDescent="0.3">
      <c r="D54" s="260" t="s">
        <v>498</v>
      </c>
      <c r="E54" s="260" t="s">
        <v>499</v>
      </c>
      <c r="F54" s="260" t="s">
        <v>500</v>
      </c>
      <c r="G54" s="260" t="s">
        <v>501</v>
      </c>
      <c r="H54" s="260" t="s">
        <v>502</v>
      </c>
      <c r="I54" s="260" t="s">
        <v>503</v>
      </c>
      <c r="J54" s="260" t="s">
        <v>504</v>
      </c>
      <c r="K54" s="260" t="s">
        <v>505</v>
      </c>
      <c r="L54" s="260" t="s">
        <v>506</v>
      </c>
      <c r="M54" s="260" t="s">
        <v>507</v>
      </c>
      <c r="N54" s="260" t="s">
        <v>508</v>
      </c>
      <c r="O54" s="260" t="s">
        <v>509</v>
      </c>
    </row>
    <row r="55" spans="2:15" x14ac:dyDescent="0.3">
      <c r="B55" s="255" t="s">
        <v>11</v>
      </c>
      <c r="C55" s="256" t="s">
        <v>1202</v>
      </c>
      <c r="D55" s="252">
        <f>D32*100/D$52</f>
        <v>4.300471902050429</v>
      </c>
      <c r="E55" s="252">
        <f t="shared" ref="E55:O55" si="1">E32*100/E52</f>
        <v>5.0351153555839989</v>
      </c>
      <c r="F55" s="252">
        <f t="shared" si="1"/>
        <v>4.5182097544649649</v>
      </c>
      <c r="G55" s="252">
        <f t="shared" si="1"/>
        <v>4.1801172436994039</v>
      </c>
      <c r="H55" s="252">
        <f t="shared" si="1"/>
        <v>4.3334813347450387</v>
      </c>
      <c r="I55" s="252">
        <f t="shared" si="1"/>
        <v>3.9257064873681062</v>
      </c>
      <c r="J55" s="252">
        <f t="shared" si="1"/>
        <v>2.923240300908704</v>
      </c>
      <c r="K55" s="252">
        <f t="shared" si="1"/>
        <v>3.2623722902002625</v>
      </c>
      <c r="L55" s="252">
        <f t="shared" si="1"/>
        <v>2.8418866182703204</v>
      </c>
      <c r="M55" s="252">
        <f t="shared" si="1"/>
        <v>3.2216173993702255</v>
      </c>
      <c r="N55" s="252">
        <f t="shared" si="1"/>
        <v>2.7347297566377065</v>
      </c>
      <c r="O55" s="252">
        <f t="shared" si="1"/>
        <v>2.6961657925556293</v>
      </c>
    </row>
    <row r="56" spans="2:15" x14ac:dyDescent="0.3">
      <c r="B56" s="255" t="s">
        <v>23</v>
      </c>
      <c r="C56" s="256" t="s">
        <v>1203</v>
      </c>
      <c r="D56" s="252">
        <f>D33*100/D$52</f>
        <v>1.6502773459419187</v>
      </c>
      <c r="E56" s="252">
        <f t="shared" ref="E56:O56" si="2">E33*100/E$52</f>
        <v>1.6737225558727971</v>
      </c>
      <c r="F56" s="252">
        <f t="shared" si="2"/>
        <v>1.5479051936592936</v>
      </c>
      <c r="G56" s="252">
        <f t="shared" si="2"/>
        <v>1.8266539736165888</v>
      </c>
      <c r="H56" s="252">
        <f t="shared" si="2"/>
        <v>1.8484237849653338</v>
      </c>
      <c r="I56" s="252">
        <f t="shared" si="2"/>
        <v>1.6503012348966482</v>
      </c>
      <c r="J56" s="252">
        <f t="shared" si="2"/>
        <v>1.2985113540255762</v>
      </c>
      <c r="K56" s="252">
        <f t="shared" si="2"/>
        <v>1.4668341737369563</v>
      </c>
      <c r="L56" s="252">
        <f t="shared" si="2"/>
        <v>1.2829927405480259</v>
      </c>
      <c r="M56" s="252">
        <f t="shared" si="2"/>
        <v>1.0774525837869506</v>
      </c>
      <c r="N56" s="252">
        <f t="shared" si="2"/>
        <v>0.89457862044515268</v>
      </c>
      <c r="O56" s="252">
        <f t="shared" si="2"/>
        <v>0.87792996927881595</v>
      </c>
    </row>
    <row r="57" spans="2:15" x14ac:dyDescent="0.3">
      <c r="B57" s="255" t="s">
        <v>29</v>
      </c>
      <c r="C57" s="256" t="s">
        <v>255</v>
      </c>
      <c r="D57" s="252">
        <f t="shared" ref="D57:O57" si="3">D34*100/D$52</f>
        <v>4.5966755282451324</v>
      </c>
      <c r="E57" s="252">
        <f t="shared" si="3"/>
        <v>4.1490269436513412</v>
      </c>
      <c r="F57" s="252">
        <f t="shared" si="3"/>
        <v>3.9560957799616641</v>
      </c>
      <c r="G57" s="252">
        <f t="shared" si="3"/>
        <v>4.6174548525864481</v>
      </c>
      <c r="H57" s="252">
        <f t="shared" si="3"/>
        <v>4.304791830322074</v>
      </c>
      <c r="I57" s="252">
        <f t="shared" si="3"/>
        <v>3.7532869553639778</v>
      </c>
      <c r="J57" s="252">
        <f t="shared" si="3"/>
        <v>3.9336881665045125</v>
      </c>
      <c r="K57" s="252">
        <f t="shared" si="3"/>
        <v>3.8084912316932549</v>
      </c>
      <c r="L57" s="252">
        <f t="shared" si="3"/>
        <v>3.9260836725273811</v>
      </c>
      <c r="M57" s="252">
        <f t="shared" si="3"/>
        <v>3.2250347840945155</v>
      </c>
      <c r="N57" s="252">
        <f t="shared" si="3"/>
        <v>3.3277159105809915</v>
      </c>
      <c r="O57" s="252">
        <f t="shared" si="3"/>
        <v>3.6292581088650135</v>
      </c>
    </row>
    <row r="58" spans="2:15" x14ac:dyDescent="0.3">
      <c r="B58" s="255" t="s">
        <v>1204</v>
      </c>
      <c r="C58" s="256" t="s">
        <v>1205</v>
      </c>
      <c r="D58" s="252">
        <f t="shared" ref="D58:O58" si="4">D35*100/D$52</f>
        <v>0.63472205613150723</v>
      </c>
      <c r="E58" s="252">
        <f t="shared" si="4"/>
        <v>0.57677791998949823</v>
      </c>
      <c r="F58" s="252">
        <f t="shared" si="4"/>
        <v>0.55374691940244014</v>
      </c>
      <c r="G58" s="252">
        <f t="shared" si="4"/>
        <v>0.51965156145989155</v>
      </c>
      <c r="H58" s="252">
        <f t="shared" si="4"/>
        <v>0.5123125789815226</v>
      </c>
      <c r="I58" s="252">
        <f t="shared" si="4"/>
        <v>0.52524714575774734</v>
      </c>
      <c r="J58" s="252">
        <f t="shared" si="4"/>
        <v>0.51571631151554465</v>
      </c>
      <c r="K58" s="252">
        <f t="shared" si="4"/>
        <v>0.48817985211190845</v>
      </c>
      <c r="L58" s="252">
        <f t="shared" si="4"/>
        <v>0.45948554403927666</v>
      </c>
      <c r="M58" s="252">
        <f t="shared" si="4"/>
        <v>0.44963019015305011</v>
      </c>
      <c r="N58" s="252">
        <f t="shared" si="4"/>
        <v>0.43077700126756269</v>
      </c>
      <c r="O58" s="252">
        <f t="shared" si="4"/>
        <v>0.39207698966342486</v>
      </c>
    </row>
    <row r="59" spans="2:15" x14ac:dyDescent="0.3">
      <c r="B59" s="255" t="s">
        <v>1206</v>
      </c>
      <c r="C59" s="256" t="s">
        <v>1207</v>
      </c>
      <c r="D59" s="252">
        <f t="shared" ref="D59:O59" si="5">D36*100/D$52</f>
        <v>0.66047889319191622</v>
      </c>
      <c r="E59" s="252">
        <f t="shared" si="5"/>
        <v>0.5308325949263234</v>
      </c>
      <c r="F59" s="252">
        <f t="shared" si="5"/>
        <v>0.50430523017007944</v>
      </c>
      <c r="G59" s="252">
        <f t="shared" si="5"/>
        <v>0.43017987388070922</v>
      </c>
      <c r="H59" s="252">
        <f t="shared" si="5"/>
        <v>0.46722907203114866</v>
      </c>
      <c r="I59" s="252">
        <f t="shared" si="5"/>
        <v>0.43404453616483041</v>
      </c>
      <c r="J59" s="252">
        <f t="shared" si="5"/>
        <v>0.48582892971378078</v>
      </c>
      <c r="K59" s="252">
        <f t="shared" si="5"/>
        <v>0.52432007618129761</v>
      </c>
      <c r="L59" s="252">
        <f t="shared" si="5"/>
        <v>0.49305526415173523</v>
      </c>
      <c r="M59" s="252">
        <f t="shared" si="5"/>
        <v>0.44914199233529434</v>
      </c>
      <c r="N59" s="252">
        <f t="shared" si="5"/>
        <v>0.59055787321460673</v>
      </c>
      <c r="O59" s="252">
        <f t="shared" si="5"/>
        <v>1.1287064853947077</v>
      </c>
    </row>
    <row r="60" spans="2:15" x14ac:dyDescent="0.3">
      <c r="B60" s="255" t="s">
        <v>1208</v>
      </c>
      <c r="C60" s="256" t="s">
        <v>1209</v>
      </c>
      <c r="D60" s="261">
        <f t="shared" ref="D60:O60" si="6">D37*100/D$52</f>
        <v>6.9028323321896083</v>
      </c>
      <c r="E60" s="261">
        <f t="shared" si="6"/>
        <v>8.2759016770043647</v>
      </c>
      <c r="F60" s="261">
        <f t="shared" si="6"/>
        <v>8.780844007667266</v>
      </c>
      <c r="G60" s="261">
        <f t="shared" si="6"/>
        <v>8.3287404533709353</v>
      </c>
      <c r="H60" s="261">
        <f t="shared" si="6"/>
        <v>7.3711533863861458</v>
      </c>
      <c r="I60" s="261">
        <f t="shared" si="6"/>
        <v>7.3128515794028557</v>
      </c>
      <c r="J60" s="261">
        <f t="shared" si="6"/>
        <v>7.8184118989933689</v>
      </c>
      <c r="K60" s="261">
        <f t="shared" si="6"/>
        <v>7.9147090711962402</v>
      </c>
      <c r="L60" s="261">
        <f t="shared" si="6"/>
        <v>8.1920607611934049</v>
      </c>
      <c r="M60" s="261">
        <f t="shared" si="6"/>
        <v>8.1519271608855917</v>
      </c>
      <c r="N60" s="261">
        <f t="shared" si="6"/>
        <v>8.022068215262232</v>
      </c>
      <c r="O60" s="261">
        <f t="shared" si="6"/>
        <v>7.8322046268479388</v>
      </c>
    </row>
    <row r="61" spans="2:15" x14ac:dyDescent="0.3">
      <c r="B61" s="255" t="s">
        <v>1210</v>
      </c>
      <c r="C61" s="256" t="s">
        <v>1211</v>
      </c>
      <c r="D61" s="261">
        <f t="shared" ref="D61:O61" si="7">D38*100/D$52</f>
        <v>13.764269747674989</v>
      </c>
      <c r="E61" s="261">
        <f t="shared" si="7"/>
        <v>14.374323126907552</v>
      </c>
      <c r="F61" s="261">
        <f t="shared" si="7"/>
        <v>14.776979949493414</v>
      </c>
      <c r="G61" s="261">
        <f t="shared" si="7"/>
        <v>14.474371729809819</v>
      </c>
      <c r="H61" s="261">
        <f t="shared" si="7"/>
        <v>14.95269647187404</v>
      </c>
      <c r="I61" s="261">
        <f t="shared" si="7"/>
        <v>14.266884132743069</v>
      </c>
      <c r="J61" s="261">
        <f t="shared" si="7"/>
        <v>15.243836522380562</v>
      </c>
      <c r="K61" s="261">
        <f t="shared" si="7"/>
        <v>15.23167030937179</v>
      </c>
      <c r="L61" s="261">
        <f t="shared" si="7"/>
        <v>15.658700851831652</v>
      </c>
      <c r="M61" s="261">
        <f t="shared" si="7"/>
        <v>14.649351917396931</v>
      </c>
      <c r="N61" s="261">
        <f t="shared" si="7"/>
        <v>14.693041033087757</v>
      </c>
      <c r="O61" s="261">
        <f t="shared" si="7"/>
        <v>14.046879508461055</v>
      </c>
    </row>
    <row r="62" spans="2:15" x14ac:dyDescent="0.3">
      <c r="B62" s="255" t="s">
        <v>1212</v>
      </c>
      <c r="C62" s="256" t="s">
        <v>1213</v>
      </c>
      <c r="D62" s="261">
        <f t="shared" ref="D62:O62" si="8">D39*100/D$52</f>
        <v>11.021166600741429</v>
      </c>
      <c r="E62" s="261">
        <f t="shared" si="8"/>
        <v>11.054773391093171</v>
      </c>
      <c r="F62" s="261">
        <f t="shared" si="8"/>
        <v>10.93193780996136</v>
      </c>
      <c r="G62" s="261">
        <f t="shared" si="8"/>
        <v>10.864725966115282</v>
      </c>
      <c r="H62" s="261">
        <f t="shared" si="8"/>
        <v>10.88493459476075</v>
      </c>
      <c r="I62" s="261">
        <f t="shared" si="8"/>
        <v>10.408414605731785</v>
      </c>
      <c r="J62" s="261">
        <f t="shared" si="8"/>
        <v>9.4145252675556588</v>
      </c>
      <c r="K62" s="261">
        <f t="shared" si="8"/>
        <v>9.0166990781374583</v>
      </c>
      <c r="L62" s="261">
        <f t="shared" si="8"/>
        <v>8.5246108010574488</v>
      </c>
      <c r="M62" s="261">
        <f t="shared" si="8"/>
        <v>8.0455000366148379</v>
      </c>
      <c r="N62" s="261">
        <f t="shared" si="8"/>
        <v>7.2600737226029253</v>
      </c>
      <c r="O62" s="261">
        <f t="shared" si="8"/>
        <v>7.5228711577303669</v>
      </c>
    </row>
    <row r="63" spans="2:15" x14ac:dyDescent="0.3">
      <c r="B63" s="255" t="s">
        <v>1214</v>
      </c>
      <c r="C63" s="256" t="s">
        <v>1215</v>
      </c>
      <c r="D63" s="252">
        <f t="shared" ref="D63:O63" si="9">D40*100/D$52</f>
        <v>1.7146694385929411</v>
      </c>
      <c r="E63" s="252">
        <f t="shared" si="9"/>
        <v>1.9223195825539037</v>
      </c>
      <c r="F63" s="252">
        <f t="shared" si="9"/>
        <v>2.0461252928469285</v>
      </c>
      <c r="G63" s="252">
        <f t="shared" si="9"/>
        <v>2.1938457794415536</v>
      </c>
      <c r="H63" s="252">
        <f t="shared" si="9"/>
        <v>2.2521260972027735</v>
      </c>
      <c r="I63" s="252">
        <f t="shared" si="9"/>
        <v>2.2541024531504843</v>
      </c>
      <c r="J63" s="252">
        <f t="shared" si="9"/>
        <v>2.3617390640798188</v>
      </c>
      <c r="K63" s="252">
        <f t="shared" si="9"/>
        <v>2.37722362767538</v>
      </c>
      <c r="L63" s="252">
        <f t="shared" si="9"/>
        <v>2.3346691284461421</v>
      </c>
      <c r="M63" s="252">
        <f t="shared" si="9"/>
        <v>2.3824053506480829</v>
      </c>
      <c r="N63" s="252">
        <f t="shared" si="9"/>
        <v>1.5089336448008086</v>
      </c>
      <c r="O63" s="252">
        <f t="shared" si="9"/>
        <v>1.4482237724256157</v>
      </c>
    </row>
    <row r="64" spans="2:15" x14ac:dyDescent="0.3">
      <c r="B64" s="255" t="s">
        <v>1216</v>
      </c>
      <c r="C64" s="256" t="s">
        <v>1217</v>
      </c>
      <c r="D64" s="252">
        <f t="shared" ref="D64:O64" si="10">D41*100/D$52</f>
        <v>6.2653506149444862</v>
      </c>
      <c r="E64" s="252">
        <f t="shared" si="10"/>
        <v>6.06724426503889</v>
      </c>
      <c r="F64" s="252">
        <f t="shared" si="10"/>
        <v>6.1201204855934526</v>
      </c>
      <c r="G64" s="252">
        <f t="shared" si="10"/>
        <v>6.0769170203780716</v>
      </c>
      <c r="H64" s="252">
        <f t="shared" si="10"/>
        <v>6.188735954096793</v>
      </c>
      <c r="I64" s="252">
        <f t="shared" si="10"/>
        <v>6.5119994674300168</v>
      </c>
      <c r="J64" s="252">
        <f t="shared" si="10"/>
        <v>6.7170300845113422</v>
      </c>
      <c r="K64" s="252">
        <f t="shared" si="10"/>
        <v>6.8213238795096389</v>
      </c>
      <c r="L64" s="252">
        <f t="shared" si="10"/>
        <v>7.3559649196424841</v>
      </c>
      <c r="M64" s="252">
        <f t="shared" si="10"/>
        <v>8.1695022823247996</v>
      </c>
      <c r="N64" s="252">
        <f t="shared" si="10"/>
        <v>9.1478191610775763</v>
      </c>
      <c r="O64" s="261">
        <f t="shared" si="10"/>
        <v>9.8923061255664759</v>
      </c>
    </row>
    <row r="65" spans="2:15" x14ac:dyDescent="0.3">
      <c r="B65" s="255" t="s">
        <v>1218</v>
      </c>
      <c r="C65" s="256" t="s">
        <v>1219</v>
      </c>
      <c r="D65" s="252">
        <f t="shared" ref="D65:O65" si="11">D42*100/D$52</f>
        <v>5.9737464239391418</v>
      </c>
      <c r="E65" s="252">
        <f t="shared" si="11"/>
        <v>5.4453414722194875</v>
      </c>
      <c r="F65" s="252">
        <f t="shared" si="11"/>
        <v>5.3237289682660425</v>
      </c>
      <c r="G65" s="252">
        <f t="shared" si="11"/>
        <v>4.7992613217473465</v>
      </c>
      <c r="H65" s="252">
        <f t="shared" si="11"/>
        <v>4.8908774206769356</v>
      </c>
      <c r="I65" s="252">
        <f t="shared" si="11"/>
        <v>5.186565922178211</v>
      </c>
      <c r="J65" s="252">
        <f t="shared" si="11"/>
        <v>5.0547829349408939</v>
      </c>
      <c r="K65" s="252">
        <f t="shared" si="11"/>
        <v>4.9391639561498613</v>
      </c>
      <c r="L65" s="252">
        <f t="shared" si="11"/>
        <v>4.9730393185346831</v>
      </c>
      <c r="M65" s="252">
        <f t="shared" si="11"/>
        <v>5.5005248126540884</v>
      </c>
      <c r="N65" s="252">
        <f t="shared" si="11"/>
        <v>5.9050930760003331</v>
      </c>
      <c r="O65" s="252">
        <f t="shared" si="11"/>
        <v>5.3834207444370898</v>
      </c>
    </row>
    <row r="66" spans="2:15" x14ac:dyDescent="0.3">
      <c r="B66" s="255" t="s">
        <v>1220</v>
      </c>
      <c r="C66" s="256" t="s">
        <v>1221</v>
      </c>
      <c r="D66" s="261">
        <f t="shared" ref="D66:O66" si="12">D43*100/D$52</f>
        <v>11.232740619451933</v>
      </c>
      <c r="E66" s="261">
        <f t="shared" si="12"/>
        <v>10.765974204981786</v>
      </c>
      <c r="F66" s="261">
        <f t="shared" si="12"/>
        <v>11.135029056500441</v>
      </c>
      <c r="G66" s="261">
        <f t="shared" si="12"/>
        <v>11.407282279595446</v>
      </c>
      <c r="H66" s="261">
        <f t="shared" si="12"/>
        <v>11.334403497387205</v>
      </c>
      <c r="I66" s="261">
        <f t="shared" si="12"/>
        <v>12.153247012615251</v>
      </c>
      <c r="J66" s="261">
        <f t="shared" si="12"/>
        <v>12.308514088403061</v>
      </c>
      <c r="K66" s="261">
        <f t="shared" si="12"/>
        <v>12.377166262240348</v>
      </c>
      <c r="L66" s="261">
        <f t="shared" si="12"/>
        <v>11.824933909613531</v>
      </c>
      <c r="M66" s="261">
        <f t="shared" si="12"/>
        <v>12.269387555837627</v>
      </c>
      <c r="N66" s="261">
        <f t="shared" si="12"/>
        <v>11.776190221799167</v>
      </c>
      <c r="O66" s="261">
        <f t="shared" si="12"/>
        <v>11.893002019790552</v>
      </c>
    </row>
    <row r="67" spans="2:15" x14ac:dyDescent="0.3">
      <c r="B67" s="255" t="s">
        <v>765</v>
      </c>
      <c r="C67" s="256" t="s">
        <v>1222</v>
      </c>
      <c r="D67" s="252">
        <f t="shared" ref="D67:O67" si="13">D44*100/D$52</f>
        <v>6.264430727906614</v>
      </c>
      <c r="E67" s="252">
        <f t="shared" si="13"/>
        <v>5.9925831118112303</v>
      </c>
      <c r="F67" s="252">
        <f t="shared" si="13"/>
        <v>5.8219490674536774</v>
      </c>
      <c r="G67" s="252">
        <f t="shared" si="13"/>
        <v>5.9509408842665827</v>
      </c>
      <c r="H67" s="252">
        <f t="shared" si="13"/>
        <v>6.0534854332456707</v>
      </c>
      <c r="I67" s="252">
        <f t="shared" si="13"/>
        <v>6.0033951336417797</v>
      </c>
      <c r="J67" s="252">
        <f t="shared" si="13"/>
        <v>6.0410665343991061</v>
      </c>
      <c r="K67" s="252">
        <f t="shared" si="13"/>
        <v>6.0876199654660077</v>
      </c>
      <c r="L67" s="252">
        <f t="shared" si="13"/>
        <v>6.3063866392513965</v>
      </c>
      <c r="M67" s="252">
        <f t="shared" si="13"/>
        <v>6.4188249078526631</v>
      </c>
      <c r="N67" s="252">
        <f t="shared" si="13"/>
        <v>7.1576002758526931</v>
      </c>
      <c r="O67" s="261">
        <f t="shared" si="13"/>
        <v>7.4753466741348005</v>
      </c>
    </row>
    <row r="68" spans="2:15" x14ac:dyDescent="0.3">
      <c r="B68" s="255" t="s">
        <v>1223</v>
      </c>
      <c r="C68" s="256" t="s">
        <v>1224</v>
      </c>
      <c r="D68" s="252">
        <f t="shared" ref="D68:O68" si="14">D45*100/D$52</f>
        <v>3.9674727943408556</v>
      </c>
      <c r="E68" s="252">
        <f t="shared" si="14"/>
        <v>4.1949722687145155</v>
      </c>
      <c r="F68" s="252">
        <f t="shared" si="14"/>
        <v>4.5014756442632429</v>
      </c>
      <c r="G68" s="252">
        <f t="shared" si="14"/>
        <v>4.3440293753444665</v>
      </c>
      <c r="H68" s="252">
        <f t="shared" si="14"/>
        <v>4.2023293145257696</v>
      </c>
      <c r="I68" s="252">
        <f t="shared" si="14"/>
        <v>4.267216988982458</v>
      </c>
      <c r="J68" s="252">
        <f t="shared" si="14"/>
        <v>4.3781834830881943</v>
      </c>
      <c r="K68" s="252">
        <f t="shared" si="14"/>
        <v>4.6041498155701257</v>
      </c>
      <c r="L68" s="252">
        <f t="shared" si="14"/>
        <v>4.7186437833074582</v>
      </c>
      <c r="M68" s="252">
        <f t="shared" si="14"/>
        <v>4.5592794200209932</v>
      </c>
      <c r="N68" s="252">
        <f t="shared" si="14"/>
        <v>4.1562452952060891</v>
      </c>
      <c r="O68" s="252">
        <f t="shared" si="14"/>
        <v>4.2950252049493356</v>
      </c>
    </row>
    <row r="69" spans="2:15" x14ac:dyDescent="0.3">
      <c r="B69" s="255" t="s">
        <v>1225</v>
      </c>
      <c r="C69" s="256" t="s">
        <v>1226</v>
      </c>
      <c r="D69" s="261">
        <f t="shared" ref="D69:O69" si="15">D46*100/D$52</f>
        <v>8.0168155350522969</v>
      </c>
      <c r="E69" s="261">
        <f t="shared" si="15"/>
        <v>7.7237373240129958</v>
      </c>
      <c r="F69" s="261">
        <f t="shared" si="15"/>
        <v>7.4443971156479147</v>
      </c>
      <c r="G69" s="261">
        <f t="shared" si="15"/>
        <v>7.5471157906791984</v>
      </c>
      <c r="H69" s="261">
        <f t="shared" si="15"/>
        <v>7.6628300146862935</v>
      </c>
      <c r="I69" s="261">
        <f t="shared" si="15"/>
        <v>7.9699097959591256</v>
      </c>
      <c r="J69" s="261">
        <f t="shared" si="15"/>
        <v>7.8648327260471724</v>
      </c>
      <c r="K69" s="261">
        <f t="shared" si="15"/>
        <v>7.5946099437245076</v>
      </c>
      <c r="L69" s="261">
        <f t="shared" si="15"/>
        <v>7.2736141999916093</v>
      </c>
      <c r="M69" s="261">
        <f t="shared" si="15"/>
        <v>7.3371250030512378</v>
      </c>
      <c r="N69" s="261">
        <f t="shared" si="15"/>
        <v>7.6087748352411548</v>
      </c>
      <c r="O69" s="261">
        <f t="shared" si="15"/>
        <v>7.0735101923044281</v>
      </c>
    </row>
    <row r="70" spans="2:15" x14ac:dyDescent="0.3">
      <c r="B70" s="255" t="s">
        <v>1227</v>
      </c>
      <c r="C70" s="256" t="s">
        <v>591</v>
      </c>
      <c r="D70" s="252">
        <f t="shared" ref="D70:O70" si="16">D47*100/D$52</f>
        <v>5.9774259720906278</v>
      </c>
      <c r="E70" s="252">
        <f t="shared" si="16"/>
        <v>5.471595943684159</v>
      </c>
      <c r="F70" s="252">
        <f t="shared" si="16"/>
        <v>5.2605957343231813</v>
      </c>
      <c r="G70" s="252">
        <f t="shared" si="16"/>
        <v>5.3869113657674168</v>
      </c>
      <c r="H70" s="252">
        <f t="shared" si="16"/>
        <v>5.4209501690631514</v>
      </c>
      <c r="I70" s="252">
        <f t="shared" si="16"/>
        <v>5.6279332956096262</v>
      </c>
      <c r="J70" s="252">
        <f t="shared" si="16"/>
        <v>5.6843256579993273</v>
      </c>
      <c r="K70" s="252">
        <f t="shared" si="16"/>
        <v>5.4921667498465467</v>
      </c>
      <c r="L70" s="252">
        <f t="shared" si="16"/>
        <v>5.6963618815828134</v>
      </c>
      <c r="M70" s="252">
        <f t="shared" si="16"/>
        <v>5.853491834891499</v>
      </c>
      <c r="N70" s="252">
        <f t="shared" si="16"/>
        <v>6.0954702851287248</v>
      </c>
      <c r="O70" s="252">
        <f t="shared" si="16"/>
        <v>5.6121323217407539</v>
      </c>
    </row>
    <row r="71" spans="2:15" x14ac:dyDescent="0.3">
      <c r="B71" s="255" t="s">
        <v>1228</v>
      </c>
      <c r="C71" s="256" t="s">
        <v>1229</v>
      </c>
      <c r="D71" s="252">
        <f t="shared" ref="D71:O71" si="17">D48*100/D$52</f>
        <v>4.3933804928754761</v>
      </c>
      <c r="E71" s="252">
        <f t="shared" si="17"/>
        <v>4.1572314659840508</v>
      </c>
      <c r="F71" s="252">
        <f t="shared" si="17"/>
        <v>4.1013782821675244</v>
      </c>
      <c r="G71" s="252">
        <f t="shared" si="17"/>
        <v>4.2237794272380453</v>
      </c>
      <c r="H71" s="252">
        <f t="shared" si="17"/>
        <v>4.397008094538748</v>
      </c>
      <c r="I71" s="252">
        <f t="shared" si="17"/>
        <v>4.7538528109709413</v>
      </c>
      <c r="J71" s="252">
        <f t="shared" si="17"/>
        <v>4.9333257025124491</v>
      </c>
      <c r="K71" s="252">
        <f t="shared" si="17"/>
        <v>4.9546526236081707</v>
      </c>
      <c r="L71" s="252">
        <f t="shared" si="17"/>
        <v>5.0344089631152711</v>
      </c>
      <c r="M71" s="252">
        <f t="shared" si="17"/>
        <v>5.1182659213513331</v>
      </c>
      <c r="N71" s="252">
        <f t="shared" si="17"/>
        <v>5.7016031509370757</v>
      </c>
      <c r="O71" s="252">
        <f t="shared" si="17"/>
        <v>5.9176468591408256</v>
      </c>
    </row>
    <row r="72" spans="2:15" x14ac:dyDescent="0.3">
      <c r="B72" s="255" t="s">
        <v>1230</v>
      </c>
      <c r="C72" s="256" t="s">
        <v>1231</v>
      </c>
      <c r="D72" s="252">
        <f t="shared" ref="D72:O72" si="18">D49*100/D$52</f>
        <v>1.6190011866542793</v>
      </c>
      <c r="E72" s="252">
        <f t="shared" si="18"/>
        <v>1.5572183387483181</v>
      </c>
      <c r="F72" s="252">
        <f t="shared" si="18"/>
        <v>1.6429853652599873</v>
      </c>
      <c r="G72" s="252">
        <f t="shared" si="18"/>
        <v>1.6877939144936978</v>
      </c>
      <c r="H72" s="252">
        <f t="shared" si="18"/>
        <v>1.76645377232829</v>
      </c>
      <c r="I72" s="252">
        <f t="shared" si="18"/>
        <v>1.8114036547615087</v>
      </c>
      <c r="J72" s="252">
        <f t="shared" si="18"/>
        <v>1.8650998047781659</v>
      </c>
      <c r="K72" s="252">
        <f t="shared" si="18"/>
        <v>1.915431875677629</v>
      </c>
      <c r="L72" s="252">
        <f t="shared" si="18"/>
        <v>1.9648776803323407</v>
      </c>
      <c r="M72" s="252">
        <f t="shared" si="18"/>
        <v>2.0055166353406402</v>
      </c>
      <c r="N72" s="252">
        <f t="shared" si="18"/>
        <v>1.9134852141986436</v>
      </c>
      <c r="O72" s="252">
        <f t="shared" si="18"/>
        <v>1.7656194307245787</v>
      </c>
    </row>
    <row r="73" spans="2:15" x14ac:dyDescent="0.3">
      <c r="B73" s="255" t="s">
        <v>1232</v>
      </c>
      <c r="C73" s="256" t="s">
        <v>1233</v>
      </c>
      <c r="D73" s="252">
        <f t="shared" ref="D73:O73" si="19">D50*100/D$52</f>
        <v>1.0045166453559504</v>
      </c>
      <c r="E73" s="252">
        <f t="shared" si="19"/>
        <v>0.98618358439171672</v>
      </c>
      <c r="F73" s="252">
        <f t="shared" si="19"/>
        <v>0.97286031581829802</v>
      </c>
      <c r="G73" s="252">
        <f t="shared" si="19"/>
        <v>1.0765233449527232</v>
      </c>
      <c r="H73" s="252">
        <f t="shared" si="19"/>
        <v>1.0820041668089757</v>
      </c>
      <c r="I73" s="252">
        <f t="shared" si="19"/>
        <v>1.1084112771693906</v>
      </c>
      <c r="J73" s="252">
        <f t="shared" si="19"/>
        <v>1.0797611553062822</v>
      </c>
      <c r="K73" s="252">
        <f t="shared" si="19"/>
        <v>1.0486401523625952</v>
      </c>
      <c r="L73" s="252">
        <f t="shared" si="19"/>
        <v>1.0668876673240739</v>
      </c>
      <c r="M73" s="252">
        <f t="shared" si="19"/>
        <v>1.0452315278150708</v>
      </c>
      <c r="N73" s="252">
        <f t="shared" si="19"/>
        <v>1.0067651901100985</v>
      </c>
      <c r="O73" s="252">
        <f t="shared" si="19"/>
        <v>1.0519035252983011</v>
      </c>
    </row>
    <row r="74" spans="2:15" x14ac:dyDescent="0.3">
      <c r="B74" s="255" t="s">
        <v>1234</v>
      </c>
      <c r="C74" s="256" t="s">
        <v>1235</v>
      </c>
      <c r="D74" s="252">
        <f t="shared" ref="D74:O74" si="20">D51*100/D$52</f>
        <v>3.9555142628485231E-2</v>
      </c>
      <c r="E74" s="252">
        <f t="shared" si="20"/>
        <v>4.5124872829903843E-2</v>
      </c>
      <c r="F74" s="252">
        <f t="shared" si="20"/>
        <v>5.9330027078832878E-2</v>
      </c>
      <c r="G74" s="252">
        <f t="shared" si="20"/>
        <v>6.3703841556377899E-2</v>
      </c>
      <c r="H74" s="252">
        <f t="shared" si="20"/>
        <v>7.3773011373339248E-2</v>
      </c>
      <c r="I74" s="252">
        <f t="shared" si="20"/>
        <v>7.5225510102186866E-2</v>
      </c>
      <c r="J74" s="252">
        <f t="shared" si="20"/>
        <v>7.7580012336493781E-2</v>
      </c>
      <c r="K74" s="252">
        <f t="shared" si="20"/>
        <v>7.4575065540009519E-2</v>
      </c>
      <c r="L74" s="252">
        <f t="shared" si="20"/>
        <v>7.1335655238974463E-2</v>
      </c>
      <c r="M74" s="252">
        <f t="shared" si="20"/>
        <v>7.0788683574584441E-2</v>
      </c>
      <c r="N74" s="252">
        <f t="shared" si="20"/>
        <v>6.8477516548733186E-2</v>
      </c>
      <c r="O74" s="252">
        <f t="shared" si="20"/>
        <v>6.5770490690293129E-2</v>
      </c>
    </row>
    <row r="75" spans="2:15" x14ac:dyDescent="0.3">
      <c r="C75" s="256" t="s">
        <v>1236</v>
      </c>
      <c r="D75" s="252">
        <f t="shared" ref="D75:O75" si="21">D52*100/D$52</f>
        <v>100</v>
      </c>
      <c r="E75" s="252">
        <f t="shared" si="21"/>
        <v>100</v>
      </c>
      <c r="F75" s="252">
        <f t="shared" si="21"/>
        <v>100</v>
      </c>
      <c r="G75" s="252">
        <f t="shared" si="21"/>
        <v>100</v>
      </c>
      <c r="H75" s="252">
        <f t="shared" si="21"/>
        <v>100</v>
      </c>
      <c r="I75" s="252">
        <f t="shared" si="21"/>
        <v>100</v>
      </c>
      <c r="J75" s="252">
        <f t="shared" si="21"/>
        <v>100</v>
      </c>
      <c r="K75" s="252">
        <f t="shared" si="21"/>
        <v>100</v>
      </c>
      <c r="L75" s="252">
        <f t="shared" si="21"/>
        <v>100</v>
      </c>
      <c r="M75" s="252">
        <f t="shared" si="21"/>
        <v>100</v>
      </c>
      <c r="N75" s="252">
        <f t="shared" si="21"/>
        <v>100</v>
      </c>
      <c r="O75" s="252">
        <f t="shared" si="21"/>
        <v>100</v>
      </c>
    </row>
    <row r="76" spans="2:15" x14ac:dyDescent="0.3">
      <c r="C76" s="256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</row>
    <row r="77" spans="2:15" x14ac:dyDescent="0.3">
      <c r="D77" s="260" t="s">
        <v>498</v>
      </c>
      <c r="E77" s="260" t="s">
        <v>499</v>
      </c>
      <c r="F77" s="260" t="s">
        <v>500</v>
      </c>
      <c r="G77" s="260" t="s">
        <v>501</v>
      </c>
      <c r="H77" s="260" t="s">
        <v>502</v>
      </c>
      <c r="I77" s="260" t="s">
        <v>503</v>
      </c>
      <c r="J77" s="260" t="s">
        <v>504</v>
      </c>
      <c r="K77" s="260" t="s">
        <v>505</v>
      </c>
      <c r="L77" s="260" t="s">
        <v>506</v>
      </c>
      <c r="M77" s="260" t="s">
        <v>507</v>
      </c>
      <c r="N77" s="260" t="s">
        <v>508</v>
      </c>
      <c r="O77" s="260" t="s">
        <v>509</v>
      </c>
    </row>
    <row r="78" spans="2:15" x14ac:dyDescent="0.3">
      <c r="B78" s="255" t="s">
        <v>11</v>
      </c>
      <c r="C78" s="256" t="s">
        <v>623</v>
      </c>
      <c r="D78" s="252">
        <f>D55</f>
        <v>4.300471902050429</v>
      </c>
      <c r="E78" s="252">
        <f t="shared" ref="E78:O78" si="22">E55</f>
        <v>5.0351153555839989</v>
      </c>
      <c r="F78" s="252">
        <f t="shared" si="22"/>
        <v>4.5182097544649649</v>
      </c>
      <c r="G78" s="252">
        <f t="shared" si="22"/>
        <v>4.1801172436994039</v>
      </c>
      <c r="H78" s="252">
        <f t="shared" si="22"/>
        <v>4.3334813347450387</v>
      </c>
      <c r="I78" s="252">
        <f t="shared" si="22"/>
        <v>3.9257064873681062</v>
      </c>
      <c r="J78" s="252">
        <f t="shared" si="22"/>
        <v>2.923240300908704</v>
      </c>
      <c r="K78" s="252">
        <f t="shared" si="22"/>
        <v>3.2623722902002625</v>
      </c>
      <c r="L78" s="252">
        <f t="shared" si="22"/>
        <v>2.8418866182703204</v>
      </c>
      <c r="M78" s="252">
        <f t="shared" si="22"/>
        <v>3.2216173993702255</v>
      </c>
      <c r="N78" s="252">
        <f t="shared" si="22"/>
        <v>2.7347297566377065</v>
      </c>
      <c r="O78" s="252">
        <f t="shared" si="22"/>
        <v>2.6961657925556293</v>
      </c>
    </row>
    <row r="79" spans="2:15" x14ac:dyDescent="0.3">
      <c r="B79" s="255" t="s">
        <v>23</v>
      </c>
      <c r="C79" s="256" t="s">
        <v>1237</v>
      </c>
      <c r="D79" s="252">
        <f>D56</f>
        <v>1.6502773459419187</v>
      </c>
      <c r="E79" s="252">
        <f t="shared" ref="E79:O79" si="23">E56</f>
        <v>1.6737225558727971</v>
      </c>
      <c r="F79" s="252">
        <f t="shared" si="23"/>
        <v>1.5479051936592936</v>
      </c>
      <c r="G79" s="252">
        <f t="shared" si="23"/>
        <v>1.8266539736165888</v>
      </c>
      <c r="H79" s="252">
        <f t="shared" si="23"/>
        <v>1.8484237849653338</v>
      </c>
      <c r="I79" s="252">
        <f t="shared" si="23"/>
        <v>1.6503012348966482</v>
      </c>
      <c r="J79" s="252">
        <f t="shared" si="23"/>
        <v>1.2985113540255762</v>
      </c>
      <c r="K79" s="252">
        <f t="shared" si="23"/>
        <v>1.4668341737369563</v>
      </c>
      <c r="L79" s="252">
        <f t="shared" si="23"/>
        <v>1.2829927405480259</v>
      </c>
      <c r="M79" s="252">
        <f t="shared" si="23"/>
        <v>1.0774525837869506</v>
      </c>
      <c r="N79" s="252">
        <f t="shared" si="23"/>
        <v>0.89457862044515268</v>
      </c>
      <c r="O79" s="252">
        <f t="shared" si="23"/>
        <v>0.87792996927881595</v>
      </c>
    </row>
    <row r="80" spans="2:15" x14ac:dyDescent="0.3">
      <c r="B80" s="255" t="s">
        <v>29</v>
      </c>
      <c r="C80" s="256" t="s">
        <v>1238</v>
      </c>
      <c r="D80" s="252">
        <f>D57</f>
        <v>4.5966755282451324</v>
      </c>
      <c r="E80" s="252">
        <f t="shared" ref="E80:O80" si="24">E57</f>
        <v>4.1490269436513412</v>
      </c>
      <c r="F80" s="252">
        <f t="shared" si="24"/>
        <v>3.9560957799616641</v>
      </c>
      <c r="G80" s="252">
        <f t="shared" si="24"/>
        <v>4.6174548525864481</v>
      </c>
      <c r="H80" s="252">
        <f t="shared" si="24"/>
        <v>4.304791830322074</v>
      </c>
      <c r="I80" s="252">
        <f t="shared" si="24"/>
        <v>3.7532869553639778</v>
      </c>
      <c r="J80" s="252">
        <f t="shared" si="24"/>
        <v>3.9336881665045125</v>
      </c>
      <c r="K80" s="252">
        <f t="shared" si="24"/>
        <v>3.8084912316932549</v>
      </c>
      <c r="L80" s="252">
        <f t="shared" si="24"/>
        <v>3.9260836725273811</v>
      </c>
      <c r="M80" s="252">
        <f t="shared" si="24"/>
        <v>3.2250347840945155</v>
      </c>
      <c r="N80" s="252">
        <f t="shared" si="24"/>
        <v>3.3277159105809915</v>
      </c>
      <c r="O80" s="252">
        <f t="shared" si="24"/>
        <v>3.6292581088650135</v>
      </c>
    </row>
    <row r="81" spans="2:15" x14ac:dyDescent="0.3">
      <c r="B81" s="255" t="s">
        <v>1239</v>
      </c>
      <c r="C81" s="256" t="s">
        <v>1205</v>
      </c>
      <c r="D81" s="252">
        <f>D58+D59</f>
        <v>1.2952009493234233</v>
      </c>
      <c r="E81" s="252">
        <f t="shared" ref="E81:O81" si="25">E58+E59</f>
        <v>1.1076105149158217</v>
      </c>
      <c r="F81" s="252">
        <f t="shared" si="25"/>
        <v>1.0580521495725197</v>
      </c>
      <c r="G81" s="252">
        <f t="shared" si="25"/>
        <v>0.94983143534060077</v>
      </c>
      <c r="H81" s="252">
        <f t="shared" si="25"/>
        <v>0.97954165101267132</v>
      </c>
      <c r="I81" s="252">
        <f t="shared" si="25"/>
        <v>0.95929168192257774</v>
      </c>
      <c r="J81" s="252">
        <f t="shared" si="25"/>
        <v>1.0015452412293255</v>
      </c>
      <c r="K81" s="252">
        <f t="shared" si="25"/>
        <v>1.0124999282932061</v>
      </c>
      <c r="L81" s="252">
        <f t="shared" si="25"/>
        <v>0.95254080819101183</v>
      </c>
      <c r="M81" s="252">
        <f t="shared" si="25"/>
        <v>0.89877218248834445</v>
      </c>
      <c r="N81" s="252">
        <f t="shared" si="25"/>
        <v>1.0213348744821693</v>
      </c>
      <c r="O81" s="252">
        <f t="shared" si="25"/>
        <v>1.5207834750581326</v>
      </c>
    </row>
    <row r="82" spans="2:15" x14ac:dyDescent="0.3">
      <c r="B82" s="255" t="s">
        <v>1208</v>
      </c>
      <c r="C82" s="256" t="s">
        <v>1209</v>
      </c>
      <c r="D82" s="252">
        <f>D60</f>
        <v>6.9028323321896083</v>
      </c>
      <c r="E82" s="252">
        <f t="shared" ref="E82:O82" si="26">E60</f>
        <v>8.2759016770043647</v>
      </c>
      <c r="F82" s="252">
        <f t="shared" si="26"/>
        <v>8.780844007667266</v>
      </c>
      <c r="G82" s="252">
        <f t="shared" si="26"/>
        <v>8.3287404533709353</v>
      </c>
      <c r="H82" s="252">
        <f t="shared" si="26"/>
        <v>7.3711533863861458</v>
      </c>
      <c r="I82" s="252">
        <f t="shared" si="26"/>
        <v>7.3128515794028557</v>
      </c>
      <c r="J82" s="252">
        <f t="shared" si="26"/>
        <v>7.8184118989933689</v>
      </c>
      <c r="K82" s="252">
        <f t="shared" si="26"/>
        <v>7.9147090711962402</v>
      </c>
      <c r="L82" s="252">
        <f t="shared" si="26"/>
        <v>8.1920607611934049</v>
      </c>
      <c r="M82" s="252">
        <f t="shared" si="26"/>
        <v>8.1519271608855917</v>
      </c>
      <c r="N82" s="252">
        <f t="shared" si="26"/>
        <v>8.022068215262232</v>
      </c>
      <c r="O82" s="252">
        <f t="shared" si="26"/>
        <v>7.8322046268479388</v>
      </c>
    </row>
    <row r="83" spans="2:15" x14ac:dyDescent="0.3">
      <c r="B83" s="255" t="s">
        <v>1210</v>
      </c>
      <c r="C83" s="256" t="s">
        <v>1211</v>
      </c>
      <c r="D83" s="252">
        <f>D61</f>
        <v>13.764269747674989</v>
      </c>
      <c r="E83" s="252">
        <f t="shared" ref="E83:O83" si="27">E61</f>
        <v>14.374323126907552</v>
      </c>
      <c r="F83" s="252">
        <f t="shared" si="27"/>
        <v>14.776979949493414</v>
      </c>
      <c r="G83" s="252">
        <f t="shared" si="27"/>
        <v>14.474371729809819</v>
      </c>
      <c r="H83" s="252">
        <f t="shared" si="27"/>
        <v>14.95269647187404</v>
      </c>
      <c r="I83" s="252">
        <f t="shared" si="27"/>
        <v>14.266884132743069</v>
      </c>
      <c r="J83" s="252">
        <f t="shared" si="27"/>
        <v>15.243836522380562</v>
      </c>
      <c r="K83" s="252">
        <f t="shared" si="27"/>
        <v>15.23167030937179</v>
      </c>
      <c r="L83" s="252">
        <f t="shared" si="27"/>
        <v>15.658700851831652</v>
      </c>
      <c r="M83" s="252">
        <f t="shared" si="27"/>
        <v>14.649351917396931</v>
      </c>
      <c r="N83" s="252">
        <f t="shared" si="27"/>
        <v>14.693041033087757</v>
      </c>
      <c r="O83" s="252">
        <f t="shared" si="27"/>
        <v>14.046879508461055</v>
      </c>
    </row>
    <row r="84" spans="2:15" x14ac:dyDescent="0.3">
      <c r="B84" s="255" t="s">
        <v>1212</v>
      </c>
      <c r="C84" s="257" t="s">
        <v>1213</v>
      </c>
      <c r="D84" s="252">
        <f>D62</f>
        <v>11.021166600741429</v>
      </c>
      <c r="E84" s="252">
        <f t="shared" ref="E84:O84" si="28">E62</f>
        <v>11.054773391093171</v>
      </c>
      <c r="F84" s="252">
        <f t="shared" si="28"/>
        <v>10.93193780996136</v>
      </c>
      <c r="G84" s="252">
        <f t="shared" si="28"/>
        <v>10.864725966115282</v>
      </c>
      <c r="H84" s="252">
        <f t="shared" si="28"/>
        <v>10.88493459476075</v>
      </c>
      <c r="I84" s="252">
        <f t="shared" si="28"/>
        <v>10.408414605731785</v>
      </c>
      <c r="J84" s="252">
        <f t="shared" si="28"/>
        <v>9.4145252675556588</v>
      </c>
      <c r="K84" s="252">
        <f t="shared" si="28"/>
        <v>9.0166990781374583</v>
      </c>
      <c r="L84" s="252">
        <f t="shared" si="28"/>
        <v>8.5246108010574488</v>
      </c>
      <c r="M84" s="252">
        <f t="shared" si="28"/>
        <v>8.0455000366148379</v>
      </c>
      <c r="N84" s="252">
        <f t="shared" si="28"/>
        <v>7.2600737226029253</v>
      </c>
      <c r="O84" s="252">
        <f t="shared" si="28"/>
        <v>7.5228711577303669</v>
      </c>
    </row>
    <row r="85" spans="2:15" x14ac:dyDescent="0.3">
      <c r="B85" s="255" t="s">
        <v>1220</v>
      </c>
      <c r="C85" s="256" t="s">
        <v>1240</v>
      </c>
      <c r="D85" s="252">
        <f>D66</f>
        <v>11.232740619451933</v>
      </c>
      <c r="E85" s="252">
        <f t="shared" ref="E85:O85" si="29">E66</f>
        <v>10.765974204981786</v>
      </c>
      <c r="F85" s="252">
        <f t="shared" si="29"/>
        <v>11.135029056500441</v>
      </c>
      <c r="G85" s="252">
        <f t="shared" si="29"/>
        <v>11.407282279595446</v>
      </c>
      <c r="H85" s="252">
        <f t="shared" si="29"/>
        <v>11.334403497387205</v>
      </c>
      <c r="I85" s="252">
        <f t="shared" si="29"/>
        <v>12.153247012615251</v>
      </c>
      <c r="J85" s="252">
        <f t="shared" si="29"/>
        <v>12.308514088403061</v>
      </c>
      <c r="K85" s="252">
        <f t="shared" si="29"/>
        <v>12.377166262240348</v>
      </c>
      <c r="L85" s="252">
        <f t="shared" si="29"/>
        <v>11.824933909613531</v>
      </c>
      <c r="M85" s="252">
        <f t="shared" si="29"/>
        <v>12.269387555837627</v>
      </c>
      <c r="N85" s="252">
        <f t="shared" si="29"/>
        <v>11.776190221799167</v>
      </c>
      <c r="O85" s="252">
        <f t="shared" si="29"/>
        <v>11.893002019790552</v>
      </c>
    </row>
    <row r="86" spans="2:15" x14ac:dyDescent="0.3">
      <c r="B86" s="255" t="s">
        <v>592</v>
      </c>
      <c r="C86" s="256" t="s">
        <v>592</v>
      </c>
      <c r="D86" s="252">
        <f>D63+D64+D65+D67+D68+D69+D70+D71+D72+D73+D74</f>
        <v>45.236364974381154</v>
      </c>
      <c r="E86" s="252">
        <f t="shared" ref="E86:O86" si="30">E63+E64+E65+E67+E68+E69+E70+E71+E72+E73+E74</f>
        <v>43.56355222998917</v>
      </c>
      <c r="F86" s="252">
        <f t="shared" si="30"/>
        <v>43.294946298719083</v>
      </c>
      <c r="G86" s="252">
        <f t="shared" si="30"/>
        <v>43.350822065865472</v>
      </c>
      <c r="H86" s="252">
        <f t="shared" si="30"/>
        <v>43.990573448546748</v>
      </c>
      <c r="I86" s="252">
        <f t="shared" si="30"/>
        <v>45.570016309955726</v>
      </c>
      <c r="J86" s="252">
        <f t="shared" si="30"/>
        <v>46.057727159999232</v>
      </c>
      <c r="K86" s="252">
        <f t="shared" si="30"/>
        <v>45.90955765513047</v>
      </c>
      <c r="L86" s="252">
        <f t="shared" si="30"/>
        <v>46.796189836767248</v>
      </c>
      <c r="M86" s="252">
        <f t="shared" si="30"/>
        <v>48.460956379524987</v>
      </c>
      <c r="N86" s="252">
        <f t="shared" si="30"/>
        <v>50.270267645101939</v>
      </c>
      <c r="O86" s="252">
        <f t="shared" si="30"/>
        <v>49.980905341412488</v>
      </c>
    </row>
    <row r="87" spans="2:15" x14ac:dyDescent="0.3">
      <c r="D87" s="252">
        <f>SUM(D78:D86)</f>
        <v>100.00000000000001</v>
      </c>
    </row>
    <row r="90" spans="2:15" x14ac:dyDescent="0.3">
      <c r="B90" s="360" t="s">
        <v>1200</v>
      </c>
    </row>
    <row r="108" spans="2:17" x14ac:dyDescent="0.3">
      <c r="D108" s="260" t="s">
        <v>498</v>
      </c>
      <c r="E108" s="260" t="s">
        <v>499</v>
      </c>
      <c r="F108" s="260" t="s">
        <v>500</v>
      </c>
      <c r="G108" s="260" t="s">
        <v>501</v>
      </c>
      <c r="H108" s="334" t="s">
        <v>502</v>
      </c>
      <c r="I108" s="260" t="s">
        <v>503</v>
      </c>
      <c r="J108" s="260" t="s">
        <v>504</v>
      </c>
      <c r="K108" s="260" t="s">
        <v>505</v>
      </c>
      <c r="L108" s="260" t="s">
        <v>506</v>
      </c>
      <c r="M108" s="260" t="s">
        <v>507</v>
      </c>
      <c r="N108" s="260" t="s">
        <v>508</v>
      </c>
      <c r="O108" s="260" t="s">
        <v>509</v>
      </c>
    </row>
    <row r="109" spans="2:17" x14ac:dyDescent="0.3">
      <c r="B109" t="s">
        <v>84</v>
      </c>
      <c r="C109" t="s">
        <v>83</v>
      </c>
      <c r="D109" s="245">
        <f>' Macroeconomy (ktoe)'!C35</f>
        <v>1333.29</v>
      </c>
      <c r="E109" s="245">
        <f>' Macroeconomy (ktoe)'!D35</f>
        <v>1329.66</v>
      </c>
      <c r="F109" s="245">
        <f>' Macroeconomy (ktoe)'!E35</f>
        <v>1325.2170000000001</v>
      </c>
      <c r="G109" s="245">
        <f>' Macroeconomy (ktoe)'!F35</f>
        <v>1320.174</v>
      </c>
      <c r="H109" s="265">
        <f>' Macroeconomy (ktoe)'!G35</f>
        <v>1315.819</v>
      </c>
      <c r="I109" s="245">
        <f>' Macroeconomy (ktoe)'!H35</f>
        <v>1313.271</v>
      </c>
      <c r="J109" s="245">
        <f>' Macroeconomy (ktoe)'!I35</f>
        <v>1315.944</v>
      </c>
      <c r="K109" s="245">
        <f>' Macroeconomy (ktoe)'!J35</f>
        <v>1315.635</v>
      </c>
      <c r="L109" s="245">
        <f>' Macroeconomy (ktoe)'!K35</f>
        <v>1319.133</v>
      </c>
      <c r="M109" s="245">
        <f>' Macroeconomy (ktoe)'!L35</f>
        <v>1324.82</v>
      </c>
      <c r="N109" s="245">
        <f>' Macroeconomy (ktoe)'!M35</f>
        <v>1328.8889999999999</v>
      </c>
      <c r="O109" s="245">
        <f>' Macroeconomy (ktoe)'!N35</f>
        <v>1330.068</v>
      </c>
      <c r="P109" s="252"/>
      <c r="Q109" s="246"/>
    </row>
    <row r="110" spans="2:17" x14ac:dyDescent="0.3">
      <c r="B110" t="s">
        <v>1241</v>
      </c>
      <c r="C110" t="s">
        <v>1242</v>
      </c>
      <c r="D110" s="245">
        <f>' Macroeconomy (ktoe)'!C11</f>
        <v>17503.8</v>
      </c>
      <c r="E110" s="245">
        <f>' Macroeconomy (ktoe)'!D11</f>
        <v>18775.099999999999</v>
      </c>
      <c r="F110" s="245">
        <f>' Macroeconomy (ktoe)'!E11</f>
        <v>19381.2</v>
      </c>
      <c r="G110" s="245">
        <f>' Macroeconomy (ktoe)'!F11</f>
        <v>19663.900000000001</v>
      </c>
      <c r="H110" s="265">
        <f>' Macroeconomy (ktoe)'!G11</f>
        <v>20256</v>
      </c>
      <c r="I110" s="245">
        <f>' Macroeconomy (ktoe)'!H11</f>
        <v>20631.400000000001</v>
      </c>
      <c r="J110" s="245">
        <f>' Macroeconomy (ktoe)'!I11</f>
        <v>21282.400000000001</v>
      </c>
      <c r="K110" s="245">
        <f>' Macroeconomy (ktoe)'!J11</f>
        <v>22515.1</v>
      </c>
      <c r="L110" s="245">
        <f>' Macroeconomy (ktoe)'!K11</f>
        <v>23367.1</v>
      </c>
      <c r="M110" s="245">
        <f>' Macroeconomy (ktoe)'!L11</f>
        <v>24241</v>
      </c>
      <c r="N110" s="245">
        <f>' Macroeconomy (ktoe)'!M11</f>
        <v>24107.4</v>
      </c>
      <c r="O110" s="245">
        <f>' Macroeconomy (ktoe)'!N11</f>
        <v>26039.200000000001</v>
      </c>
      <c r="P110" s="246"/>
      <c r="Q110" s="268"/>
    </row>
    <row r="111" spans="2:17" x14ac:dyDescent="0.3">
      <c r="B111" t="s">
        <v>203</v>
      </c>
      <c r="C111" t="s">
        <v>1243</v>
      </c>
      <c r="D111" s="262">
        <f>' Macroeconomy (ktoe)'!C199</f>
        <v>5.8905608101652822</v>
      </c>
      <c r="E111" s="262">
        <f>' Macroeconomy (ktoe)'!D199</f>
        <v>5.7249450654437748</v>
      </c>
      <c r="F111" s="262">
        <f>' Macroeconomy (ktoe)'!E199</f>
        <v>5.228886022738128</v>
      </c>
      <c r="G111" s="262">
        <f>' Macroeconomy (ktoe)'!F199</f>
        <v>5.8393522499283446</v>
      </c>
      <c r="H111" s="335">
        <f>' Macroeconomy (ktoe)'!G199</f>
        <v>5.5391229578675842</v>
      </c>
      <c r="I111" s="262">
        <f>' Macroeconomy (ktoe)'!H199</f>
        <v>4.8013279831852484</v>
      </c>
      <c r="J111" s="262">
        <f>' Macroeconomy (ktoe)'!I199</f>
        <v>5.9784083309448741</v>
      </c>
      <c r="K111" s="262">
        <f>' Macroeconomy (ktoe)'!J199</f>
        <v>5.853253081112066</v>
      </c>
      <c r="L111" s="262">
        <f>' Macroeconomy (ktoe)'!K199</f>
        <v>5.6484666093436502</v>
      </c>
      <c r="M111" s="262">
        <f>' Macroeconomy (ktoe)'!L199</f>
        <v>4.7289099073277931</v>
      </c>
      <c r="N111" s="262">
        <f>' Macroeconomy (ktoe)'!M199</f>
        <v>4.4657256138339543</v>
      </c>
      <c r="O111" s="262">
        <f>' Macroeconomy (ktoe)'!N199</f>
        <v>4.5469999999999997</v>
      </c>
      <c r="P111" s="246"/>
      <c r="Q111" s="268"/>
    </row>
    <row r="112" spans="2:17" x14ac:dyDescent="0.3">
      <c r="B112" t="s">
        <v>203</v>
      </c>
      <c r="C112" t="s">
        <v>1244</v>
      </c>
      <c r="D112" s="262">
        <f>' Macroeconomy (ktoe)'!C200</f>
        <v>2.8562970616951295</v>
      </c>
      <c r="E112" s="262">
        <f>' Macroeconomy (ktoe)'!D200</f>
        <v>2.8021555081586715</v>
      </c>
      <c r="F112" s="262">
        <f>' Macroeconomy (ktoe)'!E200</f>
        <v>2.8207687526852876</v>
      </c>
      <c r="G112" s="262">
        <f>' Macroeconomy (ktoe)'!F200</f>
        <v>2.8796382088850732</v>
      </c>
      <c r="H112" s="335">
        <f>' Macroeconomy (ktoe)'!G200</f>
        <v>2.7813691571230126</v>
      </c>
      <c r="I112" s="262">
        <f>' Macroeconomy (ktoe)'!H200</f>
        <v>2.7820528618705471</v>
      </c>
      <c r="J112" s="262">
        <f>' Macroeconomy (ktoe)'!I200</f>
        <v>2.7636619852870923</v>
      </c>
      <c r="K112" s="262">
        <f>' Macroeconomy (ktoe)'!J200</f>
        <v>2.8343058807835848</v>
      </c>
      <c r="L112" s="262">
        <f>' Macroeconomy (ktoe)'!K200</f>
        <v>2.8525578947822474</v>
      </c>
      <c r="M112" s="262">
        <f>' Macroeconomy (ktoe)'!L200</f>
        <v>2.8301638142020464</v>
      </c>
      <c r="N112" s="262">
        <f>' Macroeconomy (ktoe)'!M200</f>
        <v>2.7630171013661986</v>
      </c>
      <c r="O112" s="262">
        <f>' Macroeconomy (ktoe)'!N200</f>
        <v>2.7724037451036594</v>
      </c>
      <c r="P112" s="252"/>
      <c r="Q112" s="268"/>
    </row>
    <row r="113" spans="2:15" x14ac:dyDescent="0.3"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</row>
    <row r="114" spans="2:15" x14ac:dyDescent="0.3">
      <c r="H114" s="260" t="s">
        <v>502</v>
      </c>
      <c r="I114" s="260" t="s">
        <v>503</v>
      </c>
      <c r="J114" s="260" t="s">
        <v>504</v>
      </c>
      <c r="K114" s="260" t="s">
        <v>505</v>
      </c>
      <c r="L114" s="260" t="s">
        <v>506</v>
      </c>
      <c r="M114" s="260" t="s">
        <v>507</v>
      </c>
      <c r="N114" s="260" t="s">
        <v>508</v>
      </c>
      <c r="O114" s="260" t="s">
        <v>509</v>
      </c>
    </row>
    <row r="115" spans="2:15" x14ac:dyDescent="0.3">
      <c r="B115" t="s">
        <v>1245</v>
      </c>
      <c r="C115" t="s">
        <v>83</v>
      </c>
      <c r="H115">
        <v>1</v>
      </c>
      <c r="I115" s="251">
        <f>(I109*100/$H109)-100</f>
        <v>-0.19364365463638933</v>
      </c>
      <c r="J115" s="251">
        <f>(J109*100/$H109)-100</f>
        <v>9.4997868247759243E-3</v>
      </c>
      <c r="K115" s="251">
        <f t="shared" ref="K115:O115" si="31">(K109*100/$H109)-100</f>
        <v>-1.3983686206074708E-2</v>
      </c>
      <c r="L115" s="251">
        <f t="shared" si="31"/>
        <v>0.2518583482986827</v>
      </c>
      <c r="M115" s="251">
        <f t="shared" si="31"/>
        <v>0.6840606496790258</v>
      </c>
      <c r="N115" s="251">
        <f t="shared" si="31"/>
        <v>0.99329771039937498</v>
      </c>
      <c r="O115" s="251">
        <f t="shared" si="31"/>
        <v>1.0828996997307314</v>
      </c>
    </row>
    <row r="116" spans="2:15" x14ac:dyDescent="0.3">
      <c r="C116" t="s">
        <v>1242</v>
      </c>
      <c r="H116">
        <v>1</v>
      </c>
      <c r="I116" s="251">
        <f>(I110*100/$H110)-100</f>
        <v>1.8532780410742618</v>
      </c>
      <c r="J116" s="251">
        <f t="shared" ref="I116:O117" si="32">(J110*100/$H110)-100</f>
        <v>5.0671406003159518</v>
      </c>
      <c r="K116" s="251">
        <f t="shared" si="32"/>
        <v>11.152744865718802</v>
      </c>
      <c r="L116" s="251">
        <f t="shared" si="32"/>
        <v>15.358906003159561</v>
      </c>
      <c r="M116" s="251">
        <f t="shared" si="32"/>
        <v>19.673183254344394</v>
      </c>
      <c r="N116" s="251">
        <f t="shared" si="32"/>
        <v>19.013625592417057</v>
      </c>
      <c r="O116" s="251">
        <f t="shared" si="32"/>
        <v>28.550552922590839</v>
      </c>
    </row>
    <row r="117" spans="2:15" x14ac:dyDescent="0.3">
      <c r="C117" t="s">
        <v>1243</v>
      </c>
      <c r="H117">
        <v>1</v>
      </c>
      <c r="I117" s="251">
        <f t="shared" si="32"/>
        <v>-13.319707475249245</v>
      </c>
      <c r="J117" s="251">
        <f t="shared" si="32"/>
        <v>7.9305943633791998</v>
      </c>
      <c r="K117" s="251">
        <f t="shared" si="32"/>
        <v>5.6711166304460079</v>
      </c>
      <c r="L117" s="251">
        <f t="shared" si="32"/>
        <v>1.9740246300320479</v>
      </c>
      <c r="M117" s="251">
        <f t="shared" si="32"/>
        <v>-14.627099934457888</v>
      </c>
      <c r="N117" s="251">
        <f t="shared" si="32"/>
        <v>-19.37847114422712</v>
      </c>
      <c r="O117" s="251">
        <f t="shared" si="32"/>
        <v>-17.911192176342752</v>
      </c>
    </row>
    <row r="118" spans="2:15" x14ac:dyDescent="0.3">
      <c r="C118" t="s">
        <v>1244</v>
      </c>
      <c r="H118">
        <v>1</v>
      </c>
      <c r="I118" s="251">
        <f>(I112*100/$H112)-100</f>
        <v>2.4581589458676945E-2</v>
      </c>
      <c r="J118" s="251">
        <f>(J112*100/$H112)-100</f>
        <v>-0.63663508278190761</v>
      </c>
      <c r="K118" s="251">
        <f>(K112*100/$H112)-100</f>
        <v>1.9032613317438489</v>
      </c>
      <c r="L118" s="251">
        <f t="shared" ref="L118:O118" si="33">(L112*100/$H112)-100</f>
        <v>2.5594854058449101</v>
      </c>
      <c r="M118" s="251">
        <f t="shared" si="33"/>
        <v>1.7543394753649295</v>
      </c>
      <c r="N118" s="251">
        <f t="shared" si="33"/>
        <v>-0.65982092703569606</v>
      </c>
      <c r="O118" s="251">
        <f t="shared" si="33"/>
        <v>-0.3223380828968061</v>
      </c>
    </row>
    <row r="120" spans="2:15" x14ac:dyDescent="0.3">
      <c r="B120" s="359" t="s">
        <v>1246</v>
      </c>
    </row>
    <row r="139" spans="3:9" x14ac:dyDescent="0.3">
      <c r="D139" s="254">
        <v>2014</v>
      </c>
      <c r="E139" s="254">
        <v>2015</v>
      </c>
      <c r="F139" s="254">
        <v>2016</v>
      </c>
      <c r="G139" s="254">
        <v>2017</v>
      </c>
      <c r="H139" s="254">
        <v>2018</v>
      </c>
      <c r="I139" s="254">
        <v>2019</v>
      </c>
    </row>
    <row r="140" spans="3:9" x14ac:dyDescent="0.3">
      <c r="C140" t="s">
        <v>1247</v>
      </c>
      <c r="D140" s="245">
        <v>406.69</v>
      </c>
      <c r="E140" s="245">
        <v>282.959</v>
      </c>
      <c r="F140" s="245">
        <v>413.70499999999998</v>
      </c>
      <c r="G140" s="245">
        <v>149.452</v>
      </c>
      <c r="H140" s="245">
        <v>61.094999999999999</v>
      </c>
      <c r="I140" s="245">
        <v>-19.420000000000002</v>
      </c>
    </row>
    <row r="141" spans="3:9" x14ac:dyDescent="0.3">
      <c r="C141" t="s">
        <v>541</v>
      </c>
      <c r="D141" s="245">
        <v>4229.8160000000007</v>
      </c>
      <c r="E141" s="245">
        <v>3816.1819999999998</v>
      </c>
      <c r="F141" s="245">
        <v>4244.1059999999998</v>
      </c>
      <c r="G141" s="245">
        <v>4249.74</v>
      </c>
      <c r="H141" s="245">
        <v>4711.125</v>
      </c>
      <c r="I141" s="245">
        <v>3089.6262405655866</v>
      </c>
    </row>
    <row r="142" spans="3:9" x14ac:dyDescent="0.3">
      <c r="C142" t="s">
        <v>542</v>
      </c>
      <c r="D142" s="245">
        <v>811.08199999999999</v>
      </c>
      <c r="E142" s="245">
        <v>844.61199999999985</v>
      </c>
      <c r="F142" s="245">
        <v>920.1629999999999</v>
      </c>
      <c r="G142" s="245">
        <v>999.18100000000004</v>
      </c>
      <c r="H142" s="245">
        <v>1097.1380000000001</v>
      </c>
      <c r="I142" s="245">
        <v>1192.4238081589758</v>
      </c>
    </row>
    <row r="143" spans="3:9" x14ac:dyDescent="0.3">
      <c r="C143" t="s">
        <v>1248</v>
      </c>
      <c r="D143" s="245">
        <v>435.55500000000001</v>
      </c>
      <c r="E143" s="245">
        <v>390.45600000000002</v>
      </c>
      <c r="F143" s="245">
        <v>428.267</v>
      </c>
      <c r="G143" s="245">
        <v>394.36200000000002</v>
      </c>
      <c r="H143" s="245">
        <v>413.5</v>
      </c>
      <c r="I143" s="245">
        <v>380.90621534951663</v>
      </c>
    </row>
    <row r="144" spans="3:9" x14ac:dyDescent="0.3">
      <c r="C144" t="s">
        <v>1249</v>
      </c>
      <c r="D144" s="245">
        <v>68.262</v>
      </c>
      <c r="E144" s="245">
        <v>67.259</v>
      </c>
      <c r="F144" s="245">
        <v>70.507000000000005</v>
      </c>
      <c r="G144" s="245">
        <v>72.155000000000001</v>
      </c>
      <c r="H144" s="245">
        <v>50</v>
      </c>
      <c r="I144" s="245">
        <v>70</v>
      </c>
    </row>
    <row r="145" spans="3:15" x14ac:dyDescent="0.3">
      <c r="C145" t="s">
        <v>1250</v>
      </c>
      <c r="D145" s="245">
        <v>54.142597592433361</v>
      </c>
      <c r="E145" s="245">
        <v>63.766188306104901</v>
      </c>
      <c r="F145" s="245">
        <v>54.916530524505589</v>
      </c>
      <c r="G145" s="245">
        <v>65.648685296646605</v>
      </c>
      <c r="H145" s="245">
        <v>58.624263112639724</v>
      </c>
      <c r="I145" s="245">
        <v>67.024935511607907</v>
      </c>
    </row>
    <row r="146" spans="3:15" x14ac:dyDescent="0.3">
      <c r="C146" t="s">
        <v>97</v>
      </c>
      <c r="D146" s="245">
        <v>-236.80137575236455</v>
      </c>
      <c r="E146" s="245">
        <v>-79.535683576956146</v>
      </c>
      <c r="F146" s="245">
        <v>-175.15047291487531</v>
      </c>
      <c r="G146" s="245">
        <v>-235.08199999999999</v>
      </c>
      <c r="H146" s="245">
        <v>-163.113</v>
      </c>
      <c r="I146" s="245">
        <v>185.46861564918314</v>
      </c>
    </row>
    <row r="147" spans="3:15" x14ac:dyDescent="0.3">
      <c r="D147" s="263">
        <f>SUM(D140:D146)</f>
        <v>5768.7462218400688</v>
      </c>
      <c r="E147" s="263">
        <f t="shared" ref="E147:H147" si="34">SUM(E140:E146)</f>
        <v>5385.6985047291482</v>
      </c>
      <c r="F147" s="263">
        <f t="shared" si="34"/>
        <v>5956.5140576096292</v>
      </c>
      <c r="G147" s="263">
        <f t="shared" si="34"/>
        <v>5695.4566852966454</v>
      </c>
      <c r="H147" s="263">
        <f t="shared" si="34"/>
        <v>6228.3692631126396</v>
      </c>
      <c r="I147" s="263">
        <f>SUM(I140:I146)</f>
        <v>4966.0298152348705</v>
      </c>
    </row>
    <row r="149" spans="3:15" x14ac:dyDescent="0.3">
      <c r="C149" t="s">
        <v>88</v>
      </c>
    </row>
    <row r="150" spans="3:15" x14ac:dyDescent="0.3">
      <c r="D150" s="264" t="s">
        <v>498</v>
      </c>
      <c r="E150" s="264" t="s">
        <v>499</v>
      </c>
      <c r="F150" s="264" t="s">
        <v>500</v>
      </c>
      <c r="G150" s="264" t="s">
        <v>501</v>
      </c>
      <c r="H150" s="264" t="s">
        <v>502</v>
      </c>
      <c r="I150" s="264" t="s">
        <v>503</v>
      </c>
      <c r="J150" s="264" t="s">
        <v>504</v>
      </c>
      <c r="K150" s="264" t="s">
        <v>505</v>
      </c>
      <c r="L150" s="264" t="s">
        <v>506</v>
      </c>
      <c r="M150" s="264" t="s">
        <v>507</v>
      </c>
      <c r="N150" s="264" t="s">
        <v>508</v>
      </c>
      <c r="O150" s="264" t="s">
        <v>509</v>
      </c>
    </row>
    <row r="151" spans="3:15" x14ac:dyDescent="0.3">
      <c r="C151" t="s">
        <v>1247</v>
      </c>
      <c r="D151" s="245">
        <f>' Macroeconomy (ktoe)'!C39</f>
        <v>565.70650616222406</v>
      </c>
      <c r="E151" s="245">
        <f>' Macroeconomy (ktoe)'!D39</f>
        <v>528.92423808158958</v>
      </c>
      <c r="F151" s="245">
        <f>' Macroeconomy (ktoe)'!E39</f>
        <v>509.00449030285654</v>
      </c>
      <c r="G151" s="245">
        <f>' Macroeconomy (ktoe)'!F39</f>
        <v>467.11092003439381</v>
      </c>
      <c r="H151" s="245">
        <f>' Macroeconomy (ktoe)'!G39</f>
        <v>409.59682812649282</v>
      </c>
      <c r="I151" s="245">
        <f>' Macroeconomy (ktoe)'!H39</f>
        <v>282.67411865864148</v>
      </c>
      <c r="J151" s="245">
        <f>' Macroeconomy (ktoe)'!I39</f>
        <v>413.03620903792864</v>
      </c>
      <c r="K151" s="245">
        <f>' Macroeconomy (ktoe)'!J39</f>
        <v>161.41205694086179</v>
      </c>
      <c r="L151" s="245">
        <f>' Macroeconomy (ktoe)'!K39</f>
        <v>69.241425432311146</v>
      </c>
      <c r="M151" s="245">
        <f>' Macroeconomy (ktoe)'!L39</f>
        <v>-17.865673067736907</v>
      </c>
      <c r="N151" s="245">
        <f>' Macroeconomy (ktoe)'!M39</f>
        <v>-44.688067259004455</v>
      </c>
      <c r="O151" s="245">
        <f>' Macroeconomy (ktoe)'!N39</f>
        <v>-133.27601031814277</v>
      </c>
    </row>
    <row r="152" spans="3:15" x14ac:dyDescent="0.3">
      <c r="C152" t="s">
        <v>541</v>
      </c>
      <c r="D152" s="245">
        <f>' Macroeconomy (ktoe)'!C40</f>
        <v>4187.9000668768513</v>
      </c>
      <c r="E152" s="245">
        <f>' Macroeconomy (ktoe)'!D40</f>
        <v>4162.8451323206264</v>
      </c>
      <c r="F152" s="245">
        <f>' Macroeconomy (ktoe)'!E40</f>
        <v>3505.6367631604085</v>
      </c>
      <c r="G152" s="245">
        <f>' Macroeconomy (ktoe)'!F40</f>
        <v>4274.6966657112825</v>
      </c>
      <c r="H152" s="245">
        <f>' Macroeconomy (ktoe)'!G40</f>
        <v>4072.5374988057706</v>
      </c>
      <c r="I152" s="245">
        <f>' Macroeconomy (ktoe)'!H40</f>
        <v>3273.9323588420752</v>
      </c>
      <c r="J152" s="245">
        <f>' Macroeconomy (ktoe)'!I40</f>
        <v>4311.1923187159646</v>
      </c>
      <c r="K152" s="245">
        <f>' Macroeconomy (ktoe)'!J40</f>
        <v>4445.2804050826408</v>
      </c>
      <c r="L152" s="245">
        <f>' Macroeconomy (ktoe)'!K40</f>
        <v>4172.6378140823526</v>
      </c>
      <c r="M152" s="245">
        <f>' Macroeconomy (ktoe)'!L40</f>
        <v>3001.5524983280784</v>
      </c>
      <c r="N152" s="245">
        <f>' Macroeconomy (ktoe)'!M40</f>
        <v>2538.7169198433171</v>
      </c>
      <c r="O152" s="245">
        <f>' Macroeconomy (ktoe)'!N40</f>
        <v>2757.5952995127545</v>
      </c>
    </row>
    <row r="153" spans="3:15" x14ac:dyDescent="0.3">
      <c r="C153" t="s">
        <v>542</v>
      </c>
      <c r="D153" s="245">
        <f>' Macroeconomy (ktoe)'!C42</f>
        <v>828.10260819719122</v>
      </c>
      <c r="E153" s="245">
        <f>' Macroeconomy (ktoe)'!D42</f>
        <v>801.87732874749202</v>
      </c>
      <c r="F153" s="245">
        <f>' Macroeconomy (ktoe)'!E42</f>
        <v>820.55507786376222</v>
      </c>
      <c r="G153" s="245">
        <f>' Macroeconomy (ktoe)'!F42</f>
        <v>803.45371166523364</v>
      </c>
      <c r="H153" s="245">
        <f>' Macroeconomy (ktoe)'!G42</f>
        <v>804.0030572274768</v>
      </c>
      <c r="I153" s="245">
        <f>' Macroeconomy (ktoe)'!H42</f>
        <v>841.07194038406419</v>
      </c>
      <c r="J153" s="245">
        <f>' Macroeconomy (ktoe)'!I42</f>
        <v>917.50262730486281</v>
      </c>
      <c r="K153" s="245">
        <f>' Macroeconomy (ktoe)'!J42</f>
        <v>980.24744434890601</v>
      </c>
      <c r="L153" s="245">
        <f>' Macroeconomy (ktoe)'!K42</f>
        <v>1066.6141205694084</v>
      </c>
      <c r="M153" s="245">
        <f>' Macroeconomy (ktoe)'!L42</f>
        <v>1084.9336008407377</v>
      </c>
      <c r="N153" s="245">
        <f>' Macroeconomy (ktoe)'!M42</f>
        <v>1193.704022164899</v>
      </c>
      <c r="O153" s="245">
        <f>' Macroeconomy (ktoe)'!N42</f>
        <v>1184.6517626827172</v>
      </c>
    </row>
    <row r="154" spans="3:15" x14ac:dyDescent="0.3">
      <c r="C154" t="s">
        <v>1248</v>
      </c>
      <c r="D154" s="245">
        <f>' Macroeconomy (ktoe)'!C41</f>
        <v>562.51099999999997</v>
      </c>
      <c r="E154" s="245">
        <f>' Macroeconomy (ktoe)'!D41</f>
        <v>503.28899999999999</v>
      </c>
      <c r="F154" s="245">
        <f>' Macroeconomy (ktoe)'!E41</f>
        <v>545.4</v>
      </c>
      <c r="G154" s="245">
        <f>' Macroeconomy (ktoe)'!F41</f>
        <v>554.90099999999995</v>
      </c>
      <c r="H154" s="245">
        <f>' Macroeconomy (ktoe)'!G41</f>
        <v>435.55500000000001</v>
      </c>
      <c r="I154" s="245">
        <f>' Macroeconomy (ktoe)'!H41</f>
        <v>390.45600000000002</v>
      </c>
      <c r="J154" s="245">
        <f>' Macroeconomy (ktoe)'!I41</f>
        <v>428.267</v>
      </c>
      <c r="K154" s="245">
        <f>' Macroeconomy (ktoe)'!J41</f>
        <v>405.96637049775484</v>
      </c>
      <c r="L154" s="245">
        <f>' Macroeconomy (ktoe)'!K41</f>
        <v>413.5</v>
      </c>
      <c r="M154" s="245">
        <f>' Macroeconomy (ktoe)'!L41</f>
        <v>380.38597496894999</v>
      </c>
      <c r="N154" s="245">
        <f>' Macroeconomy (ktoe)'!M41</f>
        <v>348.14177892423805</v>
      </c>
      <c r="O154" s="245">
        <f>' Macroeconomy (ktoe)'!N41</f>
        <v>394.21515238368204</v>
      </c>
    </row>
    <row r="155" spans="3:15" x14ac:dyDescent="0.3">
      <c r="C155" t="s">
        <v>1249</v>
      </c>
      <c r="D155" s="245">
        <f>' Macroeconomy (ktoe)'!C49</f>
        <v>0</v>
      </c>
      <c r="E155" s="245">
        <f>' Macroeconomy (ktoe)'!D49</f>
        <v>0</v>
      </c>
      <c r="F155" s="245">
        <f>' Macroeconomy (ktoe)'!E49</f>
        <v>0</v>
      </c>
      <c r="G155" s="245">
        <f>' Macroeconomy (ktoe)'!F49</f>
        <v>0</v>
      </c>
      <c r="H155" s="245">
        <f>' Macroeconomy (ktoe)'!G49</f>
        <v>0</v>
      </c>
      <c r="I155" s="245">
        <f>' Macroeconomy (ktoe)'!H49</f>
        <v>28.948122671252506</v>
      </c>
      <c r="J155" s="245">
        <f>' Macroeconomy (ktoe)'!I49</f>
        <v>28.637623005636762</v>
      </c>
      <c r="K155" s="245">
        <f>' Macroeconomy (ktoe)'!J49</f>
        <v>29.760198719785993</v>
      </c>
      <c r="L155" s="245">
        <f>' Macroeconomy (ktoe)'!K49</f>
        <v>30.835005254609726</v>
      </c>
      <c r="M155" s="245">
        <f>' Macroeconomy (ktoe)'!L49</f>
        <v>27.419508932836532</v>
      </c>
      <c r="N155" s="245">
        <f>' Macroeconomy (ktoe)'!M49</f>
        <v>30.858889844272476</v>
      </c>
      <c r="O155" s="245">
        <f>' Macroeconomy (ktoe)'!N49</f>
        <v>22.594821820961116</v>
      </c>
    </row>
    <row r="156" spans="3:15" x14ac:dyDescent="0.3">
      <c r="C156" t="s">
        <v>1250</v>
      </c>
      <c r="D156" s="245">
        <f>' Macroeconomy (ktoe)'!C45+' Macroeconomy (ktoe)'!C44+' Macroeconomy (ktoe)'!C46</f>
        <v>26.133805197286712</v>
      </c>
      <c r="E156" s="245">
        <f>' Macroeconomy (ktoe)'!D45+' Macroeconomy (ktoe)'!D44+' Macroeconomy (ktoe)'!D46</f>
        <v>34.278535683576955</v>
      </c>
      <c r="F156" s="245">
        <f>' Macroeconomy (ktoe)'!E45+' Macroeconomy (ktoe)'!E44+' Macroeconomy (ktoe)'!E46</f>
        <v>37.276000000000003</v>
      </c>
      <c r="G156" s="245">
        <f>' Macroeconomy (ktoe)'!F45+' Macroeconomy (ktoe)'!F44+' Macroeconomy (ktoe)'!F46</f>
        <v>47.686382248972961</v>
      </c>
      <c r="H156" s="245">
        <f>' Macroeconomy (ktoe)'!G45+' Macroeconomy (ktoe)'!G44+' Macroeconomy (ktoe)'!G46</f>
        <v>54.223805197286708</v>
      </c>
      <c r="I156" s="245">
        <f>' Macroeconomy (ktoe)'!H45+' Macroeconomy (ktoe)'!H44+' Macroeconomy (ktoe)'!H46</f>
        <v>63.771920607623962</v>
      </c>
      <c r="J156" s="245">
        <f>' Macroeconomy (ktoe)'!I45+' Macroeconomy (ktoe)'!I44+' Macroeconomy (ktoe)'!I46</f>
        <v>54.916530524505589</v>
      </c>
      <c r="K156" s="245">
        <f>' Macroeconomy (ktoe)'!J45+' Macroeconomy (ktoe)'!J44+' Macroeconomy (ktoe)'!J46</f>
        <v>65.658239132511696</v>
      </c>
      <c r="L156" s="245">
        <f>' Macroeconomy (ktoe)'!K45+' Macroeconomy (ktoe)'!K44+' Macroeconomy (ktoe)'!K46</f>
        <v>58.62695729435368</v>
      </c>
      <c r="M156" s="245">
        <f>' Macroeconomy (ktoe)'!L45+' Macroeconomy (ktoe)'!L44+' Macroeconomy (ktoe)'!L46</f>
        <v>67.024935511607922</v>
      </c>
      <c r="N156" s="245">
        <f>' Macroeconomy (ktoe)'!M45+' Macroeconomy (ktoe)'!M44+' Macroeconomy (ktoe)'!M46</f>
        <v>85.674023120282783</v>
      </c>
      <c r="O156" s="245">
        <f>' Macroeconomy (ktoe)'!N45+' Macroeconomy (ktoe)'!N44+' Macroeconomy (ktoe)'!N46</f>
        <v>95.418935702684621</v>
      </c>
    </row>
    <row r="157" spans="3:15" x14ac:dyDescent="0.3">
      <c r="C157" t="s">
        <v>97</v>
      </c>
      <c r="D157" s="245">
        <f>' Macroeconomy (ktoe)'!C47</f>
        <v>-279.79363714531382</v>
      </c>
      <c r="E157" s="245">
        <f>' Macroeconomy (ktoe)'!D47</f>
        <v>-306.27687016337057</v>
      </c>
      <c r="F157" s="245">
        <f>' Macroeconomy (ktoe)'!E47</f>
        <v>-192.60533104041272</v>
      </c>
      <c r="G157" s="245">
        <f>' Macroeconomy (ktoe)'!F47</f>
        <v>-308.51246775580398</v>
      </c>
      <c r="H157" s="245">
        <f>' Macroeconomy (ktoe)'!G47</f>
        <v>-236.80137575236455</v>
      </c>
      <c r="I157" s="245">
        <f>' Macroeconomy (ktoe)'!H47</f>
        <v>-79.535683576956146</v>
      </c>
      <c r="J157" s="245">
        <f>' Macroeconomy (ktoe)'!I47</f>
        <v>-175.15047291487531</v>
      </c>
      <c r="K157" s="245">
        <f>' Macroeconomy (ktoe)'!J47</f>
        <v>-235.08199999999999</v>
      </c>
      <c r="L157" s="245">
        <f>' Macroeconomy (ktoe)'!K47</f>
        <v>-163.113</v>
      </c>
      <c r="M157" s="245">
        <f>' Macroeconomy (ktoe)'!L47</f>
        <v>185.46861564918314</v>
      </c>
      <c r="N157" s="245">
        <f>' Macroeconomy (ktoe)'!M47</f>
        <v>313.31804719594913</v>
      </c>
      <c r="O157" s="245">
        <f>' Macroeconomy (ktoe)'!N47</f>
        <v>226.0676411579249</v>
      </c>
    </row>
    <row r="158" spans="3:15" x14ac:dyDescent="0.3">
      <c r="D158" s="248">
        <f>SUM(D151:D157)</f>
        <v>5890.5603492882401</v>
      </c>
      <c r="E158" s="248">
        <f t="shared" ref="E158:O158" si="35">SUM(E151:E157)</f>
        <v>5724.9373646699141</v>
      </c>
      <c r="F158" s="248">
        <f t="shared" si="35"/>
        <v>5225.2670002866134</v>
      </c>
      <c r="G158" s="248">
        <f t="shared" si="35"/>
        <v>5839.3362119040785</v>
      </c>
      <c r="H158" s="248">
        <f t="shared" si="35"/>
        <v>5539.1148136046613</v>
      </c>
      <c r="I158" s="248">
        <f t="shared" si="35"/>
        <v>4801.3187775867009</v>
      </c>
      <c r="J158" s="248">
        <f t="shared" si="35"/>
        <v>5978.4018356740225</v>
      </c>
      <c r="K158" s="248">
        <f t="shared" si="35"/>
        <v>5853.2427147224607</v>
      </c>
      <c r="L158" s="248">
        <f t="shared" si="35"/>
        <v>5648.3423226330351</v>
      </c>
      <c r="M158" s="248">
        <f t="shared" si="35"/>
        <v>4728.9194611636576</v>
      </c>
      <c r="N158" s="248">
        <f t="shared" si="35"/>
        <v>4465.7256138339544</v>
      </c>
      <c r="O158" s="248">
        <f t="shared" si="35"/>
        <v>4547.267602942582</v>
      </c>
    </row>
    <row r="160" spans="3:15" x14ac:dyDescent="0.3">
      <c r="C160" t="s">
        <v>226</v>
      </c>
    </row>
    <row r="162" spans="2:16" x14ac:dyDescent="0.3">
      <c r="D162" s="264" t="s">
        <v>498</v>
      </c>
      <c r="E162" s="264" t="s">
        <v>499</v>
      </c>
      <c r="F162" s="264" t="s">
        <v>500</v>
      </c>
      <c r="G162" s="264" t="s">
        <v>501</v>
      </c>
      <c r="H162" s="264" t="s">
        <v>502</v>
      </c>
      <c r="I162" s="264" t="s">
        <v>503</v>
      </c>
      <c r="J162" s="264" t="s">
        <v>504</v>
      </c>
      <c r="K162" s="264" t="s">
        <v>505</v>
      </c>
      <c r="L162" s="264" t="s">
        <v>506</v>
      </c>
      <c r="M162" s="264" t="s">
        <v>507</v>
      </c>
      <c r="N162" s="264" t="s">
        <v>508</v>
      </c>
      <c r="O162" s="264" t="s">
        <v>509</v>
      </c>
    </row>
    <row r="163" spans="2:16" x14ac:dyDescent="0.3">
      <c r="C163" t="s">
        <v>1247</v>
      </c>
      <c r="D163" s="245">
        <f>D151*41.868/3.6/1000</f>
        <v>6.5791666666666648</v>
      </c>
      <c r="E163" s="245">
        <f t="shared" ref="E163:O163" si="36">E151*41.868/3.6/1000</f>
        <v>6.1513888888888868</v>
      </c>
      <c r="F163" s="245">
        <f t="shared" si="36"/>
        <v>5.9197222222222221</v>
      </c>
      <c r="G163" s="245">
        <f t="shared" si="36"/>
        <v>5.4325000000000001</v>
      </c>
      <c r="H163" s="245">
        <f t="shared" si="36"/>
        <v>4.7636111111111124</v>
      </c>
      <c r="I163" s="245">
        <f t="shared" si="36"/>
        <v>3.2875000000000005</v>
      </c>
      <c r="J163" s="245">
        <f t="shared" si="36"/>
        <v>4.8036111111111106</v>
      </c>
      <c r="K163" s="245">
        <f t="shared" si="36"/>
        <v>1.8772222222222226</v>
      </c>
      <c r="L163" s="245">
        <f t="shared" si="36"/>
        <v>0.80527777777777865</v>
      </c>
      <c r="M163" s="245">
        <f t="shared" si="36"/>
        <v>-0.20777777777778025</v>
      </c>
      <c r="N163" s="245">
        <f t="shared" si="36"/>
        <v>-0.51972222222222186</v>
      </c>
      <c r="O163" s="245">
        <f t="shared" si="36"/>
        <v>-1.5500000000000005</v>
      </c>
    </row>
    <row r="164" spans="2:16" x14ac:dyDescent="0.3">
      <c r="C164" t="s">
        <v>541</v>
      </c>
      <c r="D164" s="245">
        <f t="shared" ref="D164:O164" si="37">D152*41.868/3.6/1000</f>
        <v>48.705277777777788</v>
      </c>
      <c r="E164" s="245">
        <f t="shared" si="37"/>
        <v>48.413888888888891</v>
      </c>
      <c r="F164" s="245">
        <f t="shared" si="37"/>
        <v>40.770555555555553</v>
      </c>
      <c r="G164" s="245">
        <f t="shared" si="37"/>
        <v>49.714722222222221</v>
      </c>
      <c r="H164" s="245">
        <f t="shared" si="37"/>
        <v>47.363611111111112</v>
      </c>
      <c r="I164" s="245">
        <f t="shared" si="37"/>
        <v>38.075833333333335</v>
      </c>
      <c r="J164" s="245">
        <f t="shared" si="37"/>
        <v>50.139166666666661</v>
      </c>
      <c r="K164" s="245">
        <f t="shared" si="37"/>
        <v>51.698611111111113</v>
      </c>
      <c r="L164" s="245">
        <f t="shared" si="37"/>
        <v>48.527777777777757</v>
      </c>
      <c r="M164" s="245">
        <f t="shared" si="37"/>
        <v>34.908055555555556</v>
      </c>
      <c r="N164" s="245">
        <f t="shared" si="37"/>
        <v>29.525277777777777</v>
      </c>
      <c r="O164" s="245">
        <f t="shared" si="37"/>
        <v>32.070833333333333</v>
      </c>
    </row>
    <row r="165" spans="2:16" x14ac:dyDescent="0.3">
      <c r="C165" t="s">
        <v>542</v>
      </c>
      <c r="D165" s="245">
        <f t="shared" ref="D165:O165" si="38">D153*41.868/3.6/1000</f>
        <v>9.6308333333333334</v>
      </c>
      <c r="E165" s="245">
        <f t="shared" si="38"/>
        <v>9.3258333333333336</v>
      </c>
      <c r="F165" s="245">
        <f t="shared" si="38"/>
        <v>9.5430555555555543</v>
      </c>
      <c r="G165" s="245">
        <f t="shared" si="38"/>
        <v>9.3441666666666681</v>
      </c>
      <c r="H165" s="245">
        <f t="shared" si="38"/>
        <v>9.3505555555555553</v>
      </c>
      <c r="I165" s="245">
        <f t="shared" si="38"/>
        <v>9.7816666666666663</v>
      </c>
      <c r="J165" s="245">
        <f t="shared" si="38"/>
        <v>10.670555555555556</v>
      </c>
      <c r="K165" s="245">
        <f t="shared" si="38"/>
        <v>11.400277777777777</v>
      </c>
      <c r="L165" s="245">
        <f t="shared" si="38"/>
        <v>12.404722222222219</v>
      </c>
      <c r="M165" s="245">
        <f t="shared" si="38"/>
        <v>12.617777777777778</v>
      </c>
      <c r="N165" s="245">
        <f t="shared" si="38"/>
        <v>13.882777777777775</v>
      </c>
      <c r="O165" s="245">
        <f t="shared" si="38"/>
        <v>13.777500000000002</v>
      </c>
    </row>
    <row r="166" spans="2:16" x14ac:dyDescent="0.3">
      <c r="C166" t="s">
        <v>1248</v>
      </c>
      <c r="D166" s="245">
        <f t="shared" ref="D166:O166" si="39">D154*41.868/3.6/1000</f>
        <v>6.5420029299999998</v>
      </c>
      <c r="E166" s="245">
        <f t="shared" si="39"/>
        <v>5.8532510699999998</v>
      </c>
      <c r="F166" s="245">
        <f t="shared" si="39"/>
        <v>6.3430019999999994</v>
      </c>
      <c r="G166" s="245">
        <f t="shared" si="39"/>
        <v>6.4534986299999995</v>
      </c>
      <c r="H166" s="245">
        <f t="shared" si="39"/>
        <v>5.0655046500000012</v>
      </c>
      <c r="I166" s="245">
        <f t="shared" si="39"/>
        <v>4.54100328</v>
      </c>
      <c r="J166" s="245">
        <f t="shared" si="39"/>
        <v>4.9807452100000003</v>
      </c>
      <c r="K166" s="245">
        <f t="shared" si="39"/>
        <v>4.7213888888888889</v>
      </c>
      <c r="L166" s="245">
        <f t="shared" si="39"/>
        <v>4.809005</v>
      </c>
      <c r="M166" s="245">
        <f t="shared" si="39"/>
        <v>4.4238888888888885</v>
      </c>
      <c r="N166" s="245">
        <f t="shared" si="39"/>
        <v>4.0488888888888885</v>
      </c>
      <c r="O166" s="245">
        <f t="shared" si="39"/>
        <v>4.5847222222222221</v>
      </c>
    </row>
    <row r="167" spans="2:16" x14ac:dyDescent="0.3">
      <c r="C167" t="s">
        <v>1249</v>
      </c>
      <c r="D167" s="245">
        <f t="shared" ref="D167:O167" si="40">D155*41.868/3.6/1000</f>
        <v>0</v>
      </c>
      <c r="E167" s="245">
        <f t="shared" si="40"/>
        <v>0</v>
      </c>
      <c r="F167" s="245">
        <f t="shared" si="40"/>
        <v>0</v>
      </c>
      <c r="G167" s="245">
        <f t="shared" si="40"/>
        <v>0</v>
      </c>
      <c r="H167" s="245">
        <f t="shared" si="40"/>
        <v>0</v>
      </c>
      <c r="I167" s="245">
        <f t="shared" si="40"/>
        <v>0.33666666666666667</v>
      </c>
      <c r="J167" s="245">
        <f t="shared" si="40"/>
        <v>0.33305555555555555</v>
      </c>
      <c r="K167" s="245">
        <f t="shared" si="40"/>
        <v>0.34611111111111109</v>
      </c>
      <c r="L167" s="245">
        <f t="shared" si="40"/>
        <v>0.3586111111111111</v>
      </c>
      <c r="M167" s="245">
        <f t="shared" si="40"/>
        <v>0.31888888888888883</v>
      </c>
      <c r="N167" s="245">
        <f t="shared" si="40"/>
        <v>0.35888888888888887</v>
      </c>
      <c r="O167" s="245">
        <f t="shared" si="40"/>
        <v>0.26277777777777778</v>
      </c>
    </row>
    <row r="168" spans="2:16" x14ac:dyDescent="0.3">
      <c r="C168" t="s">
        <v>1250</v>
      </c>
      <c r="D168" s="245">
        <f t="shared" ref="D168:O168" si="41">D156*41.868/3.6/1000</f>
        <v>0.3039361544444445</v>
      </c>
      <c r="E168" s="245">
        <f t="shared" si="41"/>
        <v>0.39865936999999996</v>
      </c>
      <c r="F168" s="245">
        <f t="shared" si="41"/>
        <v>0.43351988000000008</v>
      </c>
      <c r="G168" s="245">
        <f t="shared" si="41"/>
        <v>0.55459262555555566</v>
      </c>
      <c r="H168" s="245">
        <f t="shared" si="41"/>
        <v>0.63062285444444444</v>
      </c>
      <c r="I168" s="245">
        <f t="shared" si="41"/>
        <v>0.74166743666666668</v>
      </c>
      <c r="J168" s="245">
        <f t="shared" si="41"/>
        <v>0.63867925000000003</v>
      </c>
      <c r="K168" s="245">
        <f t="shared" si="41"/>
        <v>0.76360532111111101</v>
      </c>
      <c r="L168" s="245">
        <f t="shared" si="41"/>
        <v>0.68183151333333325</v>
      </c>
      <c r="M168" s="245">
        <f t="shared" si="41"/>
        <v>0.77950000000000019</v>
      </c>
      <c r="N168" s="245">
        <f t="shared" si="41"/>
        <v>0.99638888888888866</v>
      </c>
      <c r="O168" s="245">
        <f t="shared" si="41"/>
        <v>1.1097222222222223</v>
      </c>
    </row>
    <row r="169" spans="2:16" x14ac:dyDescent="0.3">
      <c r="C169" t="s">
        <v>97</v>
      </c>
      <c r="D169" s="245">
        <f t="shared" ref="D169:O169" si="42">D157*41.868/3.6/1000</f>
        <v>-3.254</v>
      </c>
      <c r="E169" s="245">
        <f t="shared" si="42"/>
        <v>-3.5619999999999998</v>
      </c>
      <c r="F169" s="245">
        <f t="shared" si="42"/>
        <v>-2.2400000000000002</v>
      </c>
      <c r="G169" s="245">
        <f t="shared" si="42"/>
        <v>-3.5880000000000001</v>
      </c>
      <c r="H169" s="245">
        <f t="shared" si="42"/>
        <v>-2.754</v>
      </c>
      <c r="I169" s="245">
        <f t="shared" si="42"/>
        <v>-0.92500000000000004</v>
      </c>
      <c r="J169" s="245">
        <f t="shared" si="42"/>
        <v>-2.0369999999999999</v>
      </c>
      <c r="K169" s="245">
        <f t="shared" si="42"/>
        <v>-2.7340036599999999</v>
      </c>
      <c r="L169" s="245">
        <f t="shared" si="42"/>
        <v>-1.8970041900000001</v>
      </c>
      <c r="M169" s="245">
        <f t="shared" si="42"/>
        <v>2.157</v>
      </c>
      <c r="N169" s="245">
        <f t="shared" si="42"/>
        <v>3.6438888888888883</v>
      </c>
      <c r="O169" s="245">
        <f t="shared" si="42"/>
        <v>2.6291666666666664</v>
      </c>
    </row>
    <row r="170" spans="2:16" x14ac:dyDescent="0.3">
      <c r="D170" s="248">
        <f>SUM(D163:D169)</f>
        <v>68.507216862222222</v>
      </c>
      <c r="E170" s="248">
        <f t="shared" ref="E170" si="43">SUM(E163:E169)</f>
        <v>66.581021551111121</v>
      </c>
      <c r="F170" s="248">
        <f t="shared" ref="F170" si="44">SUM(F163:F169)</f>
        <v>60.769855213333322</v>
      </c>
      <c r="G170" s="248">
        <f t="shared" ref="G170" si="45">SUM(G163:G169)</f>
        <v>67.911480144444454</v>
      </c>
      <c r="H170" s="248">
        <f t="shared" ref="H170" si="46">SUM(H163:H169)</f>
        <v>64.419905282222203</v>
      </c>
      <c r="I170" s="248">
        <f t="shared" ref="I170" si="47">SUM(I163:I169)</f>
        <v>55.839337383333337</v>
      </c>
      <c r="J170" s="248">
        <f t="shared" ref="J170" si="48">SUM(J163:J169)</f>
        <v>69.528813348888875</v>
      </c>
      <c r="K170" s="248">
        <f t="shared" ref="K170" si="49">SUM(K163:K169)</f>
        <v>68.07321277222222</v>
      </c>
      <c r="L170" s="248">
        <f t="shared" ref="L170" si="50">SUM(L163:L169)</f>
        <v>65.690221212222212</v>
      </c>
      <c r="M170" s="248">
        <f t="shared" ref="M170" si="51">SUM(M163:M169)</f>
        <v>54.99733333333333</v>
      </c>
      <c r="N170" s="248">
        <f t="shared" ref="N170" si="52">SUM(N163:N169)</f>
        <v>51.936388888888892</v>
      </c>
      <c r="O170" s="248">
        <f t="shared" ref="O170" si="53">SUM(O163:O169)</f>
        <v>52.884722222222223</v>
      </c>
      <c r="P170">
        <f>O170*100/D170</f>
        <v>77.195841028808601</v>
      </c>
    </row>
    <row r="171" spans="2:16" x14ac:dyDescent="0.3"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</row>
    <row r="175" spans="2:16" x14ac:dyDescent="0.3">
      <c r="B175" s="360" t="s">
        <v>1251</v>
      </c>
    </row>
    <row r="193" spans="3:15" x14ac:dyDescent="0.3">
      <c r="C193" t="s">
        <v>103</v>
      </c>
    </row>
    <row r="194" spans="3:15" x14ac:dyDescent="0.3">
      <c r="D194" s="264" t="s">
        <v>498</v>
      </c>
      <c r="E194" s="264" t="s">
        <v>499</v>
      </c>
      <c r="F194" s="264" t="s">
        <v>500</v>
      </c>
      <c r="G194" s="264" t="s">
        <v>501</v>
      </c>
      <c r="H194" s="264" t="s">
        <v>502</v>
      </c>
      <c r="I194" s="264" t="s">
        <v>503</v>
      </c>
      <c r="J194" s="264" t="s">
        <v>504</v>
      </c>
      <c r="K194" s="264" t="s">
        <v>505</v>
      </c>
      <c r="L194" s="264" t="s">
        <v>506</v>
      </c>
      <c r="M194" s="264" t="s">
        <v>507</v>
      </c>
      <c r="N194" s="264" t="s">
        <v>508</v>
      </c>
      <c r="O194" s="264" t="s">
        <v>509</v>
      </c>
    </row>
    <row r="195" spans="3:15" x14ac:dyDescent="0.3">
      <c r="C195" t="s">
        <v>1247</v>
      </c>
      <c r="D195" s="245">
        <f t="shared" ref="D195:D201" si="54">D163*100/D$170</f>
        <v>9.6036110763312816</v>
      </c>
      <c r="E195" s="245">
        <f t="shared" ref="E195:O195" si="55">E163*100/E$170</f>
        <v>9.2389524005226544</v>
      </c>
      <c r="F195" s="245">
        <f t="shared" si="55"/>
        <v>9.7412149517897717</v>
      </c>
      <c r="G195" s="245">
        <f t="shared" si="55"/>
        <v>7.9993838868558509</v>
      </c>
      <c r="H195" s="245">
        <f t="shared" si="55"/>
        <v>7.394626071307985</v>
      </c>
      <c r="I195" s="245">
        <f t="shared" si="55"/>
        <v>5.8874265957554828</v>
      </c>
      <c r="J195" s="245">
        <f t="shared" si="55"/>
        <v>6.9088064066433201</v>
      </c>
      <c r="K195" s="245">
        <f t="shared" si="55"/>
        <v>2.7576518659454794</v>
      </c>
      <c r="L195" s="245">
        <f t="shared" si="55"/>
        <v>1.2258716182066229</v>
      </c>
      <c r="M195" s="245">
        <f t="shared" si="55"/>
        <v>-0.37779609516421447</v>
      </c>
      <c r="N195" s="245">
        <f t="shared" si="55"/>
        <v>-1.0006899465692534</v>
      </c>
      <c r="O195" s="245">
        <f t="shared" si="55"/>
        <v>-2.9309031698925869</v>
      </c>
    </row>
    <row r="196" spans="3:15" x14ac:dyDescent="0.3">
      <c r="C196" t="s">
        <v>541</v>
      </c>
      <c r="D196" s="245">
        <f t="shared" si="54"/>
        <v>71.095105024819574</v>
      </c>
      <c r="E196" s="245">
        <f t="shared" ref="E196:O196" si="56">E164*100/E$170</f>
        <v>72.714247635452423</v>
      </c>
      <c r="F196" s="245">
        <f t="shared" si="56"/>
        <v>67.090098227863166</v>
      </c>
      <c r="G196" s="245">
        <f t="shared" si="56"/>
        <v>73.205181386830901</v>
      </c>
      <c r="H196" s="245">
        <f t="shared" si="56"/>
        <v>73.523254813263335</v>
      </c>
      <c r="I196" s="245">
        <f t="shared" si="56"/>
        <v>68.188189755808295</v>
      </c>
      <c r="J196" s="245">
        <f t="shared" si="56"/>
        <v>72.112789290783894</v>
      </c>
      <c r="K196" s="265">
        <f t="shared" si="56"/>
        <v>75.94560180977254</v>
      </c>
      <c r="L196" s="245">
        <f t="shared" si="56"/>
        <v>73.873670817763596</v>
      </c>
      <c r="M196" s="245">
        <f t="shared" si="56"/>
        <v>63.472269362554961</v>
      </c>
      <c r="N196" s="245">
        <f t="shared" si="56"/>
        <v>56.848923095025427</v>
      </c>
      <c r="O196" s="265">
        <f t="shared" si="56"/>
        <v>60.642907792105476</v>
      </c>
    </row>
    <row r="197" spans="3:15" x14ac:dyDescent="0.3">
      <c r="C197" t="s">
        <v>542</v>
      </c>
      <c r="D197" s="265">
        <f t="shared" si="54"/>
        <v>14.058129602173612</v>
      </c>
      <c r="E197" s="245">
        <f t="shared" ref="E197:O197" si="57">E165*100/E$170</f>
        <v>14.006744138304231</v>
      </c>
      <c r="F197" s="245">
        <f t="shared" si="57"/>
        <v>15.703600941707926</v>
      </c>
      <c r="G197" s="245">
        <f t="shared" si="57"/>
        <v>13.759332953415351</v>
      </c>
      <c r="H197" s="245">
        <f t="shared" si="57"/>
        <v>14.515009785548388</v>
      </c>
      <c r="I197" s="245">
        <f t="shared" si="57"/>
        <v>17.517519234721888</v>
      </c>
      <c r="J197" s="245">
        <f t="shared" si="57"/>
        <v>15.346954797015934</v>
      </c>
      <c r="K197" s="245">
        <f t="shared" si="57"/>
        <v>16.747083490717433</v>
      </c>
      <c r="L197" s="245">
        <f t="shared" si="57"/>
        <v>18.883666386427418</v>
      </c>
      <c r="M197" s="245">
        <f t="shared" si="57"/>
        <v>22.942526506335664</v>
      </c>
      <c r="N197" s="245">
        <f t="shared" si="57"/>
        <v>26.730348556728043</v>
      </c>
      <c r="O197" s="265">
        <f t="shared" si="57"/>
        <v>26.051947369803298</v>
      </c>
    </row>
    <row r="198" spans="3:15" x14ac:dyDescent="0.3">
      <c r="C198" t="s">
        <v>1248</v>
      </c>
      <c r="D198" s="245">
        <f t="shared" si="54"/>
        <v>9.5493631614854539</v>
      </c>
      <c r="E198" s="245">
        <f t="shared" ref="E198:O198" si="58">E166*100/E$170</f>
        <v>8.7911704170936069</v>
      </c>
      <c r="F198" s="245">
        <f t="shared" si="58"/>
        <v>10.437744137669593</v>
      </c>
      <c r="G198" s="245">
        <f t="shared" si="58"/>
        <v>9.5028095636757115</v>
      </c>
      <c r="H198" s="245">
        <f t="shared" si="58"/>
        <v>7.8632600091666323</v>
      </c>
      <c r="I198" s="245">
        <f t="shared" si="58"/>
        <v>8.1322656979725867</v>
      </c>
      <c r="J198" s="245">
        <f t="shared" si="58"/>
        <v>7.1635699936472399</v>
      </c>
      <c r="K198" s="245">
        <f t="shared" si="58"/>
        <v>6.9357515190108483</v>
      </c>
      <c r="L198" s="245">
        <f t="shared" si="58"/>
        <v>7.320731931262312</v>
      </c>
      <c r="M198" s="245">
        <f t="shared" si="58"/>
        <v>8.0438243470390489</v>
      </c>
      <c r="N198" s="245">
        <f t="shared" si="58"/>
        <v>7.7958613902690779</v>
      </c>
      <c r="O198" s="245">
        <f t="shared" si="58"/>
        <v>8.6692754156052203</v>
      </c>
    </row>
    <row r="199" spans="3:15" x14ac:dyDescent="0.3">
      <c r="C199" t="s">
        <v>1249</v>
      </c>
      <c r="D199" s="245">
        <f t="shared" si="54"/>
        <v>0</v>
      </c>
      <c r="E199" s="245">
        <f t="shared" ref="E199:O199" si="59">E167*100/E$170</f>
        <v>0</v>
      </c>
      <c r="F199" s="245">
        <f t="shared" si="59"/>
        <v>0</v>
      </c>
      <c r="G199" s="245">
        <f t="shared" si="59"/>
        <v>0</v>
      </c>
      <c r="H199" s="245">
        <f t="shared" si="59"/>
        <v>0</v>
      </c>
      <c r="I199" s="245">
        <f t="shared" si="59"/>
        <v>0.60292023946393269</v>
      </c>
      <c r="J199" s="245">
        <f t="shared" si="59"/>
        <v>0.47901803513359986</v>
      </c>
      <c r="K199" s="245">
        <f t="shared" si="59"/>
        <v>0.50843951242498764</v>
      </c>
      <c r="L199" s="245">
        <f t="shared" si="59"/>
        <v>0.54591247295782963</v>
      </c>
      <c r="M199" s="245">
        <f t="shared" si="59"/>
        <v>0.57982609257822593</v>
      </c>
      <c r="N199" s="245">
        <f t="shared" si="59"/>
        <v>0.69101625385754994</v>
      </c>
      <c r="O199" s="245">
        <f t="shared" si="59"/>
        <v>0.49688788507497966</v>
      </c>
    </row>
    <row r="200" spans="3:15" x14ac:dyDescent="0.3">
      <c r="C200" t="s">
        <v>1250</v>
      </c>
      <c r="D200" s="245">
        <f t="shared" si="54"/>
        <v>0.44365567361421704</v>
      </c>
      <c r="E200" s="245">
        <f t="shared" ref="E200:O200" si="60">E168*100/E$170</f>
        <v>0.59875826581298075</v>
      </c>
      <c r="F200" s="245">
        <f t="shared" si="60"/>
        <v>0.7133798138536338</v>
      </c>
      <c r="G200" s="245">
        <f t="shared" si="60"/>
        <v>0.81664046251968569</v>
      </c>
      <c r="H200" s="245">
        <f t="shared" si="60"/>
        <v>0.97892546051053542</v>
      </c>
      <c r="I200" s="245">
        <f t="shared" si="60"/>
        <v>1.3282167579732707</v>
      </c>
      <c r="J200" s="245">
        <f t="shared" si="60"/>
        <v>0.91858212334959488</v>
      </c>
      <c r="K200" s="245">
        <f t="shared" si="60"/>
        <v>1.1217412694567368</v>
      </c>
      <c r="L200" s="245">
        <f t="shared" si="60"/>
        <v>1.0379497903205004</v>
      </c>
      <c r="M200" s="245">
        <f t="shared" si="60"/>
        <v>1.4173414468580299</v>
      </c>
      <c r="N200" s="245">
        <f t="shared" si="60"/>
        <v>1.9184793363676715</v>
      </c>
      <c r="O200" s="245">
        <f t="shared" si="60"/>
        <v>2.0983795992331329</v>
      </c>
    </row>
    <row r="201" spans="3:15" x14ac:dyDescent="0.3">
      <c r="C201" t="s">
        <v>97</v>
      </c>
      <c r="D201" s="245">
        <f t="shared" si="54"/>
        <v>-4.7498645384241165</v>
      </c>
      <c r="E201" s="245">
        <f t="shared" ref="E201:O201" si="61">E169*100/E$170</f>
        <v>-5.3498728571859173</v>
      </c>
      <c r="F201" s="245">
        <f t="shared" si="61"/>
        <v>-3.6860380728840849</v>
      </c>
      <c r="G201" s="245">
        <f t="shared" si="61"/>
        <v>-5.2833482532975227</v>
      </c>
      <c r="H201" s="245">
        <f t="shared" si="61"/>
        <v>-4.2750761397968313</v>
      </c>
      <c r="I201" s="245">
        <f t="shared" si="61"/>
        <v>-1.6565382816954588</v>
      </c>
      <c r="J201" s="245">
        <f t="shared" si="61"/>
        <v>-2.929720646573573</v>
      </c>
      <c r="K201" s="245">
        <f t="shared" si="61"/>
        <v>-4.0162694673280219</v>
      </c>
      <c r="L201" s="245">
        <f t="shared" si="61"/>
        <v>-2.8878030169383062</v>
      </c>
      <c r="M201" s="245">
        <f t="shared" si="61"/>
        <v>3.9220083397982934</v>
      </c>
      <c r="N201" s="265">
        <f t="shared" si="61"/>
        <v>7.0160613143214698</v>
      </c>
      <c r="O201" s="265">
        <f t="shared" si="61"/>
        <v>4.9715051080704882</v>
      </c>
    </row>
    <row r="202" spans="3:15" x14ac:dyDescent="0.3">
      <c r="D202" s="248">
        <f>SUM(D195:D201)</f>
        <v>100.00000000000001</v>
      </c>
      <c r="E202" s="248">
        <f t="shared" ref="E202" si="62">SUM(E195:E201)</f>
        <v>99.999999999999972</v>
      </c>
      <c r="F202" s="248">
        <f t="shared" ref="F202" si="63">SUM(F195:F201)</f>
        <v>100</v>
      </c>
      <c r="G202" s="248">
        <f t="shared" ref="G202" si="64">SUM(G195:G201)</f>
        <v>99.999999999999986</v>
      </c>
      <c r="H202" s="248">
        <f t="shared" ref="H202" si="65">SUM(H195:H201)</f>
        <v>100.00000000000004</v>
      </c>
      <c r="I202" s="248">
        <f t="shared" ref="I202" si="66">SUM(I195:I201)</f>
        <v>99.999999999999986</v>
      </c>
      <c r="J202" s="248">
        <f t="shared" ref="J202" si="67">SUM(J195:J201)</f>
        <v>100.00000000000003</v>
      </c>
      <c r="K202" s="248">
        <f t="shared" ref="K202" si="68">SUM(K195:K201)</f>
        <v>100</v>
      </c>
      <c r="L202" s="248">
        <f t="shared" ref="L202" si="69">SUM(L195:L201)</f>
        <v>99.999999999999972</v>
      </c>
      <c r="M202" s="248">
        <f t="shared" ref="M202" si="70">SUM(M195:M201)</f>
        <v>100.00000000000001</v>
      </c>
      <c r="N202" s="248">
        <f t="shared" ref="N202" si="71">SUM(N195:N201)</f>
        <v>100</v>
      </c>
      <c r="O202" s="248">
        <f t="shared" ref="O202" si="72">SUM(O195:O201)</f>
        <v>100.00000000000001</v>
      </c>
    </row>
    <row r="205" spans="3:15" x14ac:dyDescent="0.3">
      <c r="C205" t="s">
        <v>88</v>
      </c>
    </row>
    <row r="206" spans="3:15" x14ac:dyDescent="0.3">
      <c r="D206" s="264" t="s">
        <v>498</v>
      </c>
      <c r="E206" s="264" t="s">
        <v>499</v>
      </c>
      <c r="F206" s="264" t="s">
        <v>500</v>
      </c>
      <c r="G206" s="264" t="s">
        <v>501</v>
      </c>
      <c r="H206" s="264" t="s">
        <v>502</v>
      </c>
      <c r="I206" s="264" t="s">
        <v>503</v>
      </c>
      <c r="J206" s="264" t="s">
        <v>504</v>
      </c>
      <c r="K206" s="264" t="s">
        <v>505</v>
      </c>
      <c r="L206" s="264" t="s">
        <v>506</v>
      </c>
      <c r="M206" s="264" t="s">
        <v>507</v>
      </c>
      <c r="N206" s="264" t="s">
        <v>508</v>
      </c>
      <c r="O206" s="264" t="s">
        <v>509</v>
      </c>
    </row>
    <row r="207" spans="3:15" x14ac:dyDescent="0.3">
      <c r="C207" t="s">
        <v>622</v>
      </c>
      <c r="D207" s="245">
        <f>' Macroeconomy (ktoe)'!C73</f>
        <v>577.69657017292445</v>
      </c>
      <c r="E207" s="245">
        <f>' Macroeconomy (ktoe)'!D73</f>
        <v>586.08006114454952</v>
      </c>
      <c r="F207" s="245">
        <f>' Macroeconomy (ktoe)'!E73</f>
        <v>564.08235406515712</v>
      </c>
      <c r="G207" s="245">
        <f>' Macroeconomy (ktoe)'!F73</f>
        <v>639.60542657877136</v>
      </c>
      <c r="H207" s="245">
        <f>' Macroeconomy (ktoe)'!G73</f>
        <v>555.84217063150857</v>
      </c>
      <c r="I207" s="245">
        <f>' Macroeconomy (ktoe)'!H73</f>
        <v>535.01480844559092</v>
      </c>
      <c r="J207" s="245">
        <f>' Macroeconomy (ktoe)'!I73</f>
        <v>457.79593006592148</v>
      </c>
      <c r="K207" s="245">
        <f>' Macroeconomy (ktoe)'!J73</f>
        <v>465.77338301327984</v>
      </c>
      <c r="L207" s="245">
        <f>' Macroeconomy (ktoe)'!K73</f>
        <v>487.84274386166038</v>
      </c>
      <c r="M207" s="245">
        <f>' Macroeconomy (ktoe)'!L73</f>
        <v>459.27677462501191</v>
      </c>
      <c r="N207" s="245">
        <f>' Macroeconomy (ktoe)'!M73</f>
        <v>408.02044520875125</v>
      </c>
      <c r="O207" s="245">
        <f>' Macroeconomy (ktoe)'!N73</f>
        <v>378.1647081303143</v>
      </c>
    </row>
    <row r="208" spans="3:15" x14ac:dyDescent="0.3">
      <c r="C208" t="s">
        <v>122</v>
      </c>
      <c r="D208" s="245">
        <f>' Macroeconomy (ktoe)'!C88</f>
        <v>754.60972580491068</v>
      </c>
      <c r="E208" s="245">
        <f>' Macroeconomy (ktoe)'!D88</f>
        <v>749.25957772045467</v>
      </c>
      <c r="F208" s="245">
        <f>' Macroeconomy (ktoe)'!E88</f>
        <v>757.81026081971913</v>
      </c>
      <c r="G208" s="245">
        <f>' Macroeconomy (ktoe)'!F88</f>
        <v>739.20416547243713</v>
      </c>
      <c r="H208" s="245">
        <f>' Macroeconomy (ktoe)'!G88</f>
        <v>741.52097066972385</v>
      </c>
      <c r="I208" s="245">
        <f>' Macroeconomy (ktoe)'!H88</f>
        <v>760.007643068692</v>
      </c>
      <c r="J208" s="245">
        <f>' Macroeconomy (ktoe)'!I88</f>
        <v>776.89404796025599</v>
      </c>
      <c r="K208" s="245">
        <f>' Macroeconomy (ktoe)'!J88</f>
        <v>804.0030572274768</v>
      </c>
      <c r="L208" s="245">
        <f>' Macroeconomy (ktoe)'!K88</f>
        <v>832.11521926053308</v>
      </c>
      <c r="M208" s="245">
        <f>' Macroeconomy (ktoe)'!L88</f>
        <v>834.76640871309826</v>
      </c>
      <c r="N208" s="245">
        <f>' Macroeconomy (ktoe)'!M88</f>
        <v>792.77730008598451</v>
      </c>
      <c r="O208" s="245">
        <f>' Macroeconomy (ktoe)'!N88</f>
        <v>835.7934460685965</v>
      </c>
    </row>
    <row r="209" spans="3:15" x14ac:dyDescent="0.3">
      <c r="C209" t="s">
        <v>1252</v>
      </c>
      <c r="D209" s="245">
        <f>' Macroeconomy (ktoe)'!C108</f>
        <v>1026.8462787809306</v>
      </c>
      <c r="E209" s="245">
        <f>' Macroeconomy (ktoe)'!D108</f>
        <v>935.24887742428575</v>
      </c>
      <c r="F209" s="245">
        <f>' Macroeconomy (ktoe)'!E108</f>
        <v>970.83691602178271</v>
      </c>
      <c r="G209" s="245">
        <f>' Macroeconomy (ktoe)'!F108</f>
        <v>933.72284646354422</v>
      </c>
      <c r="H209" s="245">
        <f>' Macroeconomy (ktoe)'!G108</f>
        <v>888.14349861469384</v>
      </c>
      <c r="I209" s="245">
        <f>' Macroeconomy (ktoe)'!H108</f>
        <v>857.00787182564886</v>
      </c>
      <c r="J209" s="245">
        <f>' Macroeconomy (ktoe)'!I108</f>
        <v>930.56749785038687</v>
      </c>
      <c r="K209" s="245">
        <f>' Macroeconomy (ktoe)'!J108</f>
        <v>942.48590809209895</v>
      </c>
      <c r="L209" s="245">
        <f>' Macroeconomy (ktoe)'!K108</f>
        <v>941.12195325172297</v>
      </c>
      <c r="M209" s="245">
        <f>' Macroeconomy (ktoe)'!L108</f>
        <v>951.30035650848095</v>
      </c>
      <c r="N209" s="245">
        <f>' Macroeconomy (ktoe)'!M108</f>
        <v>944.73105952039737</v>
      </c>
      <c r="O209" s="245">
        <f>' Macroeconomy (ktoe)'!N108</f>
        <v>965.20015286137379</v>
      </c>
    </row>
    <row r="210" spans="3:15" x14ac:dyDescent="0.3">
      <c r="C210" t="s">
        <v>1253</v>
      </c>
      <c r="D210" s="245">
        <f>' Macroeconomy (ktoe)'!C141</f>
        <v>424.93362810999048</v>
      </c>
      <c r="E210" s="245">
        <f>' Macroeconomy (ktoe)'!D141</f>
        <v>402.16872074137763</v>
      </c>
      <c r="F210" s="245">
        <f>' Macroeconomy (ktoe)'!E141</f>
        <v>423.16870168466892</v>
      </c>
      <c r="G210" s="245">
        <f>' Macroeconomy (ktoe)'!F141</f>
        <v>418.07868598839002</v>
      </c>
      <c r="H210" s="245">
        <f>' Macroeconomy (ktoe)'!G141</f>
        <v>457.64158784752078</v>
      </c>
      <c r="I210" s="245">
        <f>' Macroeconomy (ktoe)'!H141</f>
        <v>465.48750048787298</v>
      </c>
      <c r="J210" s="245">
        <f>' Macroeconomy (ktoe)'!I141</f>
        <v>498.23254036495649</v>
      </c>
      <c r="K210" s="245">
        <f>' Macroeconomy (ktoe)'!J141</f>
        <v>468.6634183624725</v>
      </c>
      <c r="L210" s="266">
        <f>' Macroeconomy (ktoe)'!K141</f>
        <v>490.2789720072609</v>
      </c>
      <c r="M210" s="245">
        <f>' Macroeconomy (ktoe)'!L141</f>
        <v>467.30199675169581</v>
      </c>
      <c r="N210" s="245">
        <f>' Macroeconomy (ktoe)'!M141</f>
        <v>471.50568453233973</v>
      </c>
      <c r="O210" s="245">
        <f>' Macroeconomy (ktoe)'!N141</f>
        <v>508.04910671634661</v>
      </c>
    </row>
    <row r="211" spans="3:15" x14ac:dyDescent="0.3">
      <c r="C211" t="s">
        <v>623</v>
      </c>
      <c r="D211" s="245">
        <f>' Macroeconomy (ktoe)'!C125</f>
        <v>94.975766194986633</v>
      </c>
      <c r="E211" s="245">
        <f>' Macroeconomy (ktoe)'!D125</f>
        <v>108.39829018471254</v>
      </c>
      <c r="F211" s="245">
        <f>' Macroeconomy (ktoe)'!E125</f>
        <v>109.9605357902381</v>
      </c>
      <c r="G211" s="245">
        <f>' Macroeconomy (ktoe)'!F125</f>
        <v>109.46418252279973</v>
      </c>
      <c r="H211" s="245">
        <f>' Macroeconomy (ktoe)'!G125</f>
        <v>130.37501671921277</v>
      </c>
      <c r="I211" s="245">
        <f>' Macroeconomy (ktoe)'!H125</f>
        <v>131.78999816565855</v>
      </c>
      <c r="J211" s="245">
        <f>' Macroeconomy (ktoe)'!I125</f>
        <v>129.74109104805578</v>
      </c>
      <c r="K211" s="245">
        <f>' Macroeconomy (ktoe)'!J125</f>
        <v>131.76456044346821</v>
      </c>
      <c r="L211" s="245">
        <f>' Macroeconomy (ktoe)'!K125</f>
        <v>124.17598165663513</v>
      </c>
      <c r="M211" s="245">
        <f>' Macroeconomy (ktoe)'!L125</f>
        <v>113.31458982311605</v>
      </c>
      <c r="N211" s="245">
        <f>' Macroeconomy (ktoe)'!M125</f>
        <v>109.43918983471862</v>
      </c>
      <c r="O211" s="245">
        <f>' Macroeconomy (ktoe)'!N125</f>
        <v>85.196331327027792</v>
      </c>
    </row>
    <row r="212" spans="3:15" x14ac:dyDescent="0.3">
      <c r="D212" s="245">
        <f>SUM(D207:D211)</f>
        <v>2879.0619690637427</v>
      </c>
      <c r="E212" s="245">
        <f t="shared" ref="E212:O212" si="73">SUM(E207:E211)</f>
        <v>2781.1555272153801</v>
      </c>
      <c r="F212" s="245">
        <f t="shared" si="73"/>
        <v>2825.8587683815663</v>
      </c>
      <c r="G212" s="245">
        <f t="shared" si="73"/>
        <v>2840.0753070259425</v>
      </c>
      <c r="H212" s="245">
        <f t="shared" si="73"/>
        <v>2773.5232444826602</v>
      </c>
      <c r="I212" s="245">
        <f t="shared" si="73"/>
        <v>2749.3078219934637</v>
      </c>
      <c r="J212" s="245">
        <f t="shared" si="73"/>
        <v>2793.2311072895764</v>
      </c>
      <c r="K212" s="245">
        <f t="shared" si="73"/>
        <v>2812.690327138796</v>
      </c>
      <c r="L212" s="245">
        <f t="shared" si="73"/>
        <v>2875.5348700378127</v>
      </c>
      <c r="M212" s="245">
        <f t="shared" si="73"/>
        <v>2825.9601264214025</v>
      </c>
      <c r="N212" s="245">
        <f t="shared" si="73"/>
        <v>2726.4736791821915</v>
      </c>
      <c r="O212" s="245">
        <f t="shared" si="73"/>
        <v>2772.4037451036593</v>
      </c>
    </row>
    <row r="214" spans="3:15" x14ac:dyDescent="0.3">
      <c r="C214" t="s">
        <v>226</v>
      </c>
    </row>
    <row r="216" spans="3:15" x14ac:dyDescent="0.3">
      <c r="D216" s="264" t="s">
        <v>498</v>
      </c>
      <c r="E216" s="264" t="s">
        <v>499</v>
      </c>
      <c r="F216" s="264" t="s">
        <v>500</v>
      </c>
      <c r="G216" s="264" t="s">
        <v>501</v>
      </c>
      <c r="H216" s="264" t="s">
        <v>502</v>
      </c>
      <c r="I216" s="264" t="s">
        <v>503</v>
      </c>
      <c r="J216" s="264" t="s">
        <v>504</v>
      </c>
      <c r="K216" s="264" t="s">
        <v>505</v>
      </c>
      <c r="L216" s="264" t="s">
        <v>506</v>
      </c>
      <c r="M216" s="264" t="s">
        <v>507</v>
      </c>
      <c r="N216" s="264" t="s">
        <v>508</v>
      </c>
      <c r="O216" s="264" t="s">
        <v>509</v>
      </c>
    </row>
    <row r="217" spans="3:15" x14ac:dyDescent="0.3">
      <c r="C217" t="s">
        <v>622</v>
      </c>
      <c r="D217" s="269">
        <f>D207*41.868/3.6/1000</f>
        <v>6.7186111111111124</v>
      </c>
      <c r="E217" s="269">
        <f t="shared" ref="E217:O217" si="74">E207*41.868/3.6/1000</f>
        <v>6.8161111111111117</v>
      </c>
      <c r="F217" s="269">
        <f t="shared" si="74"/>
        <v>6.5602777777777774</v>
      </c>
      <c r="G217" s="269">
        <f t="shared" si="74"/>
        <v>7.4386111111111113</v>
      </c>
      <c r="H217" s="269">
        <f t="shared" si="74"/>
        <v>6.4644444444444442</v>
      </c>
      <c r="I217" s="269">
        <f t="shared" si="74"/>
        <v>6.2222222222222214</v>
      </c>
      <c r="J217" s="269">
        <f t="shared" si="74"/>
        <v>5.3241666666666667</v>
      </c>
      <c r="K217" s="269">
        <f t="shared" si="74"/>
        <v>5.4169444444444448</v>
      </c>
      <c r="L217" s="269">
        <f t="shared" si="74"/>
        <v>5.6736111111111107</v>
      </c>
      <c r="M217" s="269">
        <f t="shared" si="74"/>
        <v>5.341388888888889</v>
      </c>
      <c r="N217" s="269">
        <f t="shared" si="74"/>
        <v>4.745277777777777</v>
      </c>
      <c r="O217" s="269">
        <f t="shared" si="74"/>
        <v>4.3980555555555556</v>
      </c>
    </row>
    <row r="218" spans="3:15" x14ac:dyDescent="0.3">
      <c r="C218" t="s">
        <v>122</v>
      </c>
      <c r="D218" s="269">
        <f t="shared" ref="D218:O218" si="75">D208*41.868/3.6/1000</f>
        <v>8.7761111111111116</v>
      </c>
      <c r="E218" s="269">
        <f t="shared" si="75"/>
        <v>8.7138888888888868</v>
      </c>
      <c r="F218" s="269">
        <f t="shared" si="75"/>
        <v>8.8133333333333344</v>
      </c>
      <c r="G218" s="269">
        <f t="shared" si="75"/>
        <v>8.5969444444444427</v>
      </c>
      <c r="H218" s="269">
        <f t="shared" si="75"/>
        <v>8.6238888888888887</v>
      </c>
      <c r="I218" s="269">
        <f t="shared" si="75"/>
        <v>8.8388888888888886</v>
      </c>
      <c r="J218" s="269">
        <f t="shared" si="75"/>
        <v>9.0352777777777771</v>
      </c>
      <c r="K218" s="269">
        <f t="shared" si="75"/>
        <v>9.3505555555555553</v>
      </c>
      <c r="L218" s="269">
        <f t="shared" si="75"/>
        <v>9.6775000000000002</v>
      </c>
      <c r="M218" s="269">
        <f t="shared" si="75"/>
        <v>9.7083333333333339</v>
      </c>
      <c r="N218" s="269">
        <f t="shared" si="75"/>
        <v>9.2200000000000006</v>
      </c>
      <c r="O218" s="269">
        <f t="shared" si="75"/>
        <v>9.7202777777777776</v>
      </c>
    </row>
    <row r="219" spans="3:15" x14ac:dyDescent="0.3">
      <c r="C219" t="s">
        <v>1252</v>
      </c>
      <c r="D219" s="269">
        <f t="shared" ref="D219:O219" si="76">D209*41.868/3.6/1000</f>
        <v>11.942222222222222</v>
      </c>
      <c r="E219" s="269">
        <f t="shared" si="76"/>
        <v>10.876944444444444</v>
      </c>
      <c r="F219" s="269">
        <f t="shared" si="76"/>
        <v>11.290833333333333</v>
      </c>
      <c r="G219" s="269">
        <f t="shared" si="76"/>
        <v>10.859196704371021</v>
      </c>
      <c r="H219" s="269">
        <f t="shared" si="76"/>
        <v>10.329108888888889</v>
      </c>
      <c r="I219" s="269">
        <f t="shared" si="76"/>
        <v>9.967001549332295</v>
      </c>
      <c r="J219" s="269">
        <f t="shared" si="76"/>
        <v>10.8225</v>
      </c>
      <c r="K219" s="269">
        <f t="shared" si="76"/>
        <v>10.961111111111112</v>
      </c>
      <c r="L219" s="269">
        <f t="shared" si="76"/>
        <v>10.945248316317539</v>
      </c>
      <c r="M219" s="269">
        <f t="shared" si="76"/>
        <v>11.063623146193635</v>
      </c>
      <c r="N219" s="269">
        <f t="shared" si="76"/>
        <v>10.987222222222222</v>
      </c>
      <c r="O219" s="269">
        <f t="shared" si="76"/>
        <v>11.225277777777777</v>
      </c>
    </row>
    <row r="220" spans="3:15" x14ac:dyDescent="0.3">
      <c r="C220" t="s">
        <v>1254</v>
      </c>
      <c r="D220" s="269">
        <f t="shared" ref="D220:O220" si="77">D210*41.868/3.6/1000</f>
        <v>4.9419780949191887</v>
      </c>
      <c r="E220" s="269">
        <f t="shared" si="77"/>
        <v>4.6772222222222215</v>
      </c>
      <c r="F220" s="269">
        <f t="shared" si="77"/>
        <v>4.9214520005926996</v>
      </c>
      <c r="G220" s="269">
        <f t="shared" si="77"/>
        <v>4.8622551180449767</v>
      </c>
      <c r="H220" s="269">
        <f t="shared" si="77"/>
        <v>5.3223716666666672</v>
      </c>
      <c r="I220" s="269">
        <f t="shared" si="77"/>
        <v>5.4136196306739626</v>
      </c>
      <c r="J220" s="269">
        <f t="shared" si="77"/>
        <v>5.7944444444444443</v>
      </c>
      <c r="K220" s="269">
        <f t="shared" si="77"/>
        <v>5.4505555555555558</v>
      </c>
      <c r="L220" s="269">
        <f t="shared" si="77"/>
        <v>5.701944444444444</v>
      </c>
      <c r="M220" s="269">
        <f t="shared" si="77"/>
        <v>5.4347222222222218</v>
      </c>
      <c r="N220" s="269">
        <f t="shared" si="77"/>
        <v>5.4836111111111112</v>
      </c>
      <c r="O220" s="269">
        <f t="shared" si="77"/>
        <v>5.908611111111111</v>
      </c>
    </row>
    <row r="221" spans="3:15" x14ac:dyDescent="0.3">
      <c r="C221" t="s">
        <v>623</v>
      </c>
      <c r="D221" s="269">
        <f t="shared" ref="D221:O221" si="78">D211*41.868/3.6/1000</f>
        <v>1.1045681608476945</v>
      </c>
      <c r="E221" s="269">
        <f t="shared" si="78"/>
        <v>1.260672114848207</v>
      </c>
      <c r="F221" s="269">
        <f t="shared" si="78"/>
        <v>1.2788410312404692</v>
      </c>
      <c r="G221" s="269">
        <f t="shared" si="78"/>
        <v>1.2730684427401611</v>
      </c>
      <c r="H221" s="269">
        <f t="shared" si="78"/>
        <v>1.5162614444444447</v>
      </c>
      <c r="I221" s="269">
        <f t="shared" si="78"/>
        <v>1.5327176786666088</v>
      </c>
      <c r="J221" s="269">
        <f t="shared" si="78"/>
        <v>1.5088888888888889</v>
      </c>
      <c r="K221" s="269">
        <f t="shared" si="78"/>
        <v>1.5324218379575354</v>
      </c>
      <c r="L221" s="269">
        <f t="shared" si="78"/>
        <v>1.4441666666666668</v>
      </c>
      <c r="M221" s="269">
        <f t="shared" si="78"/>
        <v>1.3178486796428397</v>
      </c>
      <c r="N221" s="269">
        <f t="shared" si="78"/>
        <v>1.2727777777777776</v>
      </c>
      <c r="O221" s="269">
        <f t="shared" si="78"/>
        <v>0.99083333333333323</v>
      </c>
    </row>
    <row r="222" spans="3:15" x14ac:dyDescent="0.3">
      <c r="D222" s="248">
        <f>SUM(D217:D221)</f>
        <v>33.483490700211327</v>
      </c>
      <c r="E222" s="248">
        <f t="shared" ref="E222" si="79">SUM(E217:E221)</f>
        <v>32.344838781514866</v>
      </c>
      <c r="F222" s="248">
        <f t="shared" ref="F222" si="80">SUM(F217:F221)</f>
        <v>32.864737476277611</v>
      </c>
      <c r="G222" s="248">
        <f t="shared" ref="G222" si="81">SUM(G217:G221)</f>
        <v>33.030075820711716</v>
      </c>
      <c r="H222" s="248">
        <f t="shared" ref="H222" si="82">SUM(H217:H221)</f>
        <v>32.256075333333335</v>
      </c>
      <c r="I222" s="248">
        <f t="shared" ref="I222" si="83">SUM(I217:I221)</f>
        <v>31.974449969783976</v>
      </c>
      <c r="J222" s="248">
        <f t="shared" ref="J222" si="84">SUM(J217:J221)</f>
        <v>32.485277777777775</v>
      </c>
      <c r="K222" s="248">
        <f t="shared" ref="K222" si="85">SUM(K217:K221)</f>
        <v>32.711588504624203</v>
      </c>
      <c r="L222" s="248">
        <f t="shared" ref="L222" si="86">SUM(L217:L221)</f>
        <v>33.442470538539759</v>
      </c>
      <c r="M222" s="248">
        <f t="shared" ref="M222" si="87">SUM(M217:M221)</f>
        <v>32.86591627028092</v>
      </c>
      <c r="N222" s="248">
        <f t="shared" ref="N222" si="88">SUM(N217:N221)</f>
        <v>31.708888888888886</v>
      </c>
      <c r="O222" s="248">
        <f t="shared" ref="O222" si="89">SUM(O217:O221)</f>
        <v>32.24305555555555</v>
      </c>
    </row>
    <row r="225" spans="2:2" x14ac:dyDescent="0.3">
      <c r="B225" s="360" t="s">
        <v>1255</v>
      </c>
    </row>
    <row r="241" spans="3:15" x14ac:dyDescent="0.3">
      <c r="D241" s="264" t="s">
        <v>498</v>
      </c>
      <c r="E241" s="264" t="s">
        <v>499</v>
      </c>
      <c r="F241" s="264" t="s">
        <v>500</v>
      </c>
      <c r="G241" s="264" t="s">
        <v>501</v>
      </c>
      <c r="H241" s="264" t="s">
        <v>502</v>
      </c>
      <c r="I241" s="264" t="s">
        <v>503</v>
      </c>
      <c r="J241" s="264" t="s">
        <v>504</v>
      </c>
      <c r="K241" s="264" t="s">
        <v>505</v>
      </c>
      <c r="L241" s="264" t="s">
        <v>506</v>
      </c>
      <c r="M241" s="264" t="s">
        <v>507</v>
      </c>
      <c r="N241" s="264" t="s">
        <v>508</v>
      </c>
      <c r="O241" s="264" t="s">
        <v>509</v>
      </c>
    </row>
    <row r="242" spans="3:15" x14ac:dyDescent="0.3">
      <c r="C242" t="s">
        <v>622</v>
      </c>
      <c r="D242" s="245">
        <f>D217*100/D$222</f>
        <v>20.065444105768542</v>
      </c>
      <c r="E242" s="245">
        <f t="shared" ref="E242:O242" si="90">E217*100/E$222</f>
        <v>21.073257335283216</v>
      </c>
      <c r="F242" s="245">
        <f t="shared" si="90"/>
        <v>19.961448901008595</v>
      </c>
      <c r="G242" s="245">
        <f t="shared" si="90"/>
        <v>22.520720665275263</v>
      </c>
      <c r="H242" s="245">
        <f t="shared" si="90"/>
        <v>20.041013600201097</v>
      </c>
      <c r="I242" s="245">
        <f t="shared" si="90"/>
        <v>19.459982042231388</v>
      </c>
      <c r="J242" s="245">
        <f t="shared" si="90"/>
        <v>16.389475574405502</v>
      </c>
      <c r="K242" s="245">
        <f t="shared" si="90"/>
        <v>16.559710769407271</v>
      </c>
      <c r="L242" s="245">
        <f t="shared" si="90"/>
        <v>16.965287013029524</v>
      </c>
      <c r="M242" s="245">
        <f t="shared" si="90"/>
        <v>16.252061390781467</v>
      </c>
      <c r="N242" s="245">
        <f t="shared" si="90"/>
        <v>14.965134207022215</v>
      </c>
      <c r="O242" s="245">
        <f t="shared" si="90"/>
        <v>13.640318759422788</v>
      </c>
    </row>
    <row r="243" spans="3:15" x14ac:dyDescent="0.3">
      <c r="C243" t="s">
        <v>122</v>
      </c>
      <c r="D243" s="245">
        <f t="shared" ref="D243:O246" si="91">D218*100/D$222</f>
        <v>26.210263409172338</v>
      </c>
      <c r="E243" s="245">
        <f t="shared" si="91"/>
        <v>26.940585321046306</v>
      </c>
      <c r="F243" s="245">
        <f t="shared" si="91"/>
        <v>26.816989911131849</v>
      </c>
      <c r="G243" s="245">
        <f t="shared" si="91"/>
        <v>26.02762552259621</v>
      </c>
      <c r="H243" s="245">
        <f t="shared" si="91"/>
        <v>26.735704203843383</v>
      </c>
      <c r="I243" s="245">
        <f t="shared" si="91"/>
        <v>27.643599490348343</v>
      </c>
      <c r="J243" s="245">
        <f t="shared" si="91"/>
        <v>27.813453957775746</v>
      </c>
      <c r="K243" s="245">
        <f t="shared" si="91"/>
        <v>28.584840978400468</v>
      </c>
      <c r="L243" s="245">
        <f t="shared" si="91"/>
        <v>28.937754430694525</v>
      </c>
      <c r="M243" s="245">
        <f t="shared" si="91"/>
        <v>29.539213979292331</v>
      </c>
      <c r="N243" s="245">
        <f t="shared" si="91"/>
        <v>29.077020113532839</v>
      </c>
      <c r="O243" s="245">
        <f t="shared" si="91"/>
        <v>30.146887788068064</v>
      </c>
    </row>
    <row r="244" spans="3:15" x14ac:dyDescent="0.3">
      <c r="C244" t="s">
        <v>1252</v>
      </c>
      <c r="D244" s="245">
        <f t="shared" si="91"/>
        <v>35.666001281481833</v>
      </c>
      <c r="E244" s="245">
        <f t="shared" si="91"/>
        <v>33.62806819943291</v>
      </c>
      <c r="F244" s="245">
        <f t="shared" si="91"/>
        <v>34.355464854947556</v>
      </c>
      <c r="G244" s="245">
        <f t="shared" si="91"/>
        <v>32.876693239564688</v>
      </c>
      <c r="H244" s="245">
        <f t="shared" si="91"/>
        <v>32.022212194596463</v>
      </c>
      <c r="I244" s="245">
        <f t="shared" si="91"/>
        <v>31.171768580073039</v>
      </c>
      <c r="J244" s="245">
        <f t="shared" si="91"/>
        <v>33.315091451683244</v>
      </c>
      <c r="K244" s="245">
        <f t="shared" si="91"/>
        <v>33.508342493247063</v>
      </c>
      <c r="L244" s="245">
        <f t="shared" si="91"/>
        <v>32.728587751027604</v>
      </c>
      <c r="M244" s="245">
        <f t="shared" si="91"/>
        <v>33.662907965836759</v>
      </c>
      <c r="N244" s="245">
        <f t="shared" si="91"/>
        <v>34.650290840283134</v>
      </c>
      <c r="O244" s="245">
        <f t="shared" si="91"/>
        <v>34.814559552013783</v>
      </c>
    </row>
    <row r="245" spans="3:15" x14ac:dyDescent="0.3">
      <c r="C245" t="s">
        <v>1253</v>
      </c>
      <c r="D245" s="245">
        <f t="shared" si="91"/>
        <v>14.759447093393993</v>
      </c>
      <c r="E245" s="245">
        <f t="shared" si="91"/>
        <v>14.460490138214146</v>
      </c>
      <c r="F245" s="245">
        <f t="shared" si="91"/>
        <v>14.974870875341988</v>
      </c>
      <c r="G245" s="245">
        <f t="shared" si="91"/>
        <v>14.720690150508432</v>
      </c>
      <c r="H245" s="245">
        <f t="shared" si="91"/>
        <v>16.500369656461409</v>
      </c>
      <c r="I245" s="245">
        <f t="shared" si="91"/>
        <v>16.931079770847852</v>
      </c>
      <c r="J245" s="245">
        <f t="shared" si="91"/>
        <v>17.837139900980787</v>
      </c>
      <c r="K245" s="245">
        <f t="shared" si="91"/>
        <v>16.662460628547738</v>
      </c>
      <c r="L245" s="245">
        <f t="shared" si="91"/>
        <v>17.050009621368769</v>
      </c>
      <c r="M245" s="245">
        <f t="shared" si="91"/>
        <v>16.536043533758349</v>
      </c>
      <c r="N245" s="245">
        <f t="shared" si="91"/>
        <v>17.293608521970707</v>
      </c>
      <c r="O245" s="245">
        <f t="shared" si="91"/>
        <v>18.325220762438082</v>
      </c>
    </row>
    <row r="246" spans="3:15" x14ac:dyDescent="0.3">
      <c r="C246" t="s">
        <v>623</v>
      </c>
      <c r="D246" s="245">
        <f t="shared" si="91"/>
        <v>3.2988441101833001</v>
      </c>
      <c r="E246" s="245">
        <f t="shared" si="91"/>
        <v>3.8975990060234378</v>
      </c>
      <c r="F246" s="245">
        <f t="shared" si="91"/>
        <v>3.8912254575700196</v>
      </c>
      <c r="G246" s="245">
        <f t="shared" si="91"/>
        <v>3.8542704220553907</v>
      </c>
      <c r="H246" s="245">
        <f t="shared" si="91"/>
        <v>4.7007003448976459</v>
      </c>
      <c r="I246" s="245">
        <f t="shared" si="91"/>
        <v>4.7935701164993771</v>
      </c>
      <c r="J246" s="245">
        <f t="shared" si="91"/>
        <v>4.6448391151547286</v>
      </c>
      <c r="K246" s="245">
        <f t="shared" si="91"/>
        <v>4.6846451303974668</v>
      </c>
      <c r="L246" s="245">
        <f t="shared" si="91"/>
        <v>4.3183611838795848</v>
      </c>
      <c r="M246" s="245">
        <f t="shared" si="91"/>
        <v>4.0097731303310944</v>
      </c>
      <c r="N246" s="245">
        <f t="shared" si="91"/>
        <v>4.0139463171911132</v>
      </c>
      <c r="O246" s="245">
        <f t="shared" si="91"/>
        <v>3.0730131380572909</v>
      </c>
    </row>
    <row r="247" spans="3:15" x14ac:dyDescent="0.3">
      <c r="D247" s="248">
        <f>SUM(D242:D246)</f>
        <v>100</v>
      </c>
      <c r="E247" s="248">
        <f t="shared" ref="E247" si="92">SUM(E242:E246)</f>
        <v>100.00000000000001</v>
      </c>
      <c r="F247" s="248">
        <f t="shared" ref="F247" si="93">SUM(F242:F246)</f>
        <v>100</v>
      </c>
      <c r="G247" s="248">
        <f t="shared" ref="G247" si="94">SUM(G242:G246)</f>
        <v>99.999999999999986</v>
      </c>
      <c r="H247" s="248">
        <f t="shared" ref="H247" si="95">SUM(H242:H246)</f>
        <v>99.999999999999986</v>
      </c>
      <c r="I247" s="248">
        <f t="shared" ref="I247" si="96">SUM(I242:I246)</f>
        <v>100</v>
      </c>
      <c r="J247" s="248">
        <f t="shared" ref="J247" si="97">SUM(J242:J246)</f>
        <v>100</v>
      </c>
      <c r="K247" s="248">
        <f t="shared" ref="K247" si="98">SUM(K242:K246)</f>
        <v>100.00000000000001</v>
      </c>
      <c r="L247" s="248">
        <f t="shared" ref="L247" si="99">SUM(L242:L246)</f>
        <v>100.00000000000001</v>
      </c>
      <c r="M247" s="248">
        <f t="shared" ref="M247" si="100">SUM(M242:M246)</f>
        <v>100</v>
      </c>
      <c r="N247" s="248">
        <f t="shared" ref="N247" si="101">SUM(N242:N246)</f>
        <v>100.00000000000001</v>
      </c>
      <c r="O247" s="248">
        <f t="shared" ref="O247" si="102">SUM(O242:O246)</f>
        <v>100</v>
      </c>
    </row>
    <row r="249" spans="3:15" x14ac:dyDescent="0.3">
      <c r="C249" t="s">
        <v>88</v>
      </c>
    </row>
    <row r="250" spans="3:15" x14ac:dyDescent="0.3">
      <c r="D250" s="264" t="s">
        <v>498</v>
      </c>
      <c r="E250" s="264" t="s">
        <v>499</v>
      </c>
      <c r="F250" s="264" t="s">
        <v>500</v>
      </c>
      <c r="G250" s="264" t="s">
        <v>501</v>
      </c>
      <c r="H250" s="264" t="s">
        <v>502</v>
      </c>
      <c r="I250" s="264" t="s">
        <v>503</v>
      </c>
      <c r="J250" s="264" t="s">
        <v>504</v>
      </c>
      <c r="K250" s="264" t="s">
        <v>505</v>
      </c>
      <c r="L250" s="264" t="s">
        <v>506</v>
      </c>
      <c r="M250" s="264" t="s">
        <v>507</v>
      </c>
      <c r="N250" s="264" t="s">
        <v>508</v>
      </c>
      <c r="O250" s="264" t="s">
        <v>509</v>
      </c>
    </row>
    <row r="251" spans="3:15" x14ac:dyDescent="0.3">
      <c r="C251" t="s">
        <v>1256</v>
      </c>
      <c r="D251" s="245">
        <f>' Macroeconomy (ktoe)'!C70+' Macroeconomy (ktoe)'!C86+' Macroeconomy (ktoe)'!C103+' Macroeconomy (ktoe)'!C122+' Macroeconomy (ktoe)'!C138</f>
        <v>593.63714531384346</v>
      </c>
      <c r="E251" s="245">
        <f>' Macroeconomy (ktoe)'!D70+' Macroeconomy (ktoe)'!D86+' Macroeconomy (ktoe)'!D103+' Macroeconomy (ktoe)'!D122+' Macroeconomy (ktoe)'!D138</f>
        <v>569.0455717970766</v>
      </c>
      <c r="F251" s="245">
        <f>' Macroeconomy (ktoe)'!E70+' Macroeconomy (ktoe)'!E86+' Macroeconomy (ktoe)'!E103+' Macroeconomy (ktoe)'!E122+' Macroeconomy (ktoe)'!E138</f>
        <v>599.22613929492684</v>
      </c>
      <c r="G251" s="245">
        <f>' Macroeconomy (ktoe)'!F70+' Macroeconomy (ktoe)'!F86+' Macroeconomy (ktoe)'!F103+' Macroeconomy (ktoe)'!F122+' Macroeconomy (ktoe)'!F138</f>
        <v>585.72656921754083</v>
      </c>
      <c r="H251" s="245">
        <f>' Macroeconomy (ktoe)'!G70+' Macroeconomy (ktoe)'!G86+' Macroeconomy (ktoe)'!G103+' Macroeconomy (ktoe)'!G122+' Macroeconomy (ktoe)'!G138</f>
        <v>592.94926913155632</v>
      </c>
      <c r="I251" s="245">
        <f>' Macroeconomy (ktoe)'!H70+' Macroeconomy (ktoe)'!H86+' Macroeconomy (ktoe)'!H103+' Macroeconomy (ktoe)'!H122+' Macroeconomy (ktoe)'!H138</f>
        <v>588.47807394668962</v>
      </c>
      <c r="J251" s="245">
        <f>' Macroeconomy (ktoe)'!I70+' Macroeconomy (ktoe)'!I86+' Macroeconomy (ktoe)'!I103+' Macroeconomy (ktoe)'!I122+' Macroeconomy (ktoe)'!I138</f>
        <v>627.08512467755804</v>
      </c>
      <c r="K251" s="245">
        <f>' Macroeconomy (ktoe)'!J70+' Macroeconomy (ktoe)'!J86+' Macroeconomy (ktoe)'!J103+' Macroeconomy (ktoe)'!J122+' Macroeconomy (ktoe)'!J138</f>
        <v>620.86557752937802</v>
      </c>
      <c r="L251" s="245">
        <f>' Macroeconomy (ktoe)'!K70+' Macroeconomy (ktoe)'!K86+' Macroeconomy (ktoe)'!K103+' Macroeconomy (ktoe)'!K122+' Macroeconomy (ktoe)'!K138</f>
        <v>632.38607050730866</v>
      </c>
      <c r="M251" s="245">
        <f>' Macroeconomy (ktoe)'!L70+' Macroeconomy (ktoe)'!L86+' Macroeconomy (ktoe)'!L103+' Macroeconomy (ktoe)'!L122+' Macroeconomy (ktoe)'!L138</f>
        <v>628.80577051686248</v>
      </c>
      <c r="N251" s="245">
        <f>' Macroeconomy (ktoe)'!M70+' Macroeconomy (ktoe)'!M86+' Macroeconomy (ktoe)'!M103+' Macroeconomy (ktoe)'!M122+' Macroeconomy (ktoe)'!M138</f>
        <v>617.03448934747303</v>
      </c>
      <c r="O251" s="245">
        <f>' Macroeconomy (ktoe)'!N70+' Macroeconomy (ktoe)'!N86+' Macroeconomy (ktoe)'!N103+' Macroeconomy (ktoe)'!N122+' Macroeconomy (ktoe)'!N138</f>
        <v>677.62969332186867</v>
      </c>
    </row>
    <row r="252" spans="3:15" x14ac:dyDescent="0.3">
      <c r="C252" t="s">
        <v>1257</v>
      </c>
      <c r="D252" s="245">
        <f>' Macroeconomy (ktoe)'!C71+' Macroeconomy (ktoe)'!C104+' Macroeconomy (ktoe)'!C123+' Macroeconomy (ktoe)'!C139</f>
        <v>531.52765835482944</v>
      </c>
      <c r="E252" s="245">
        <f>' Macroeconomy (ktoe)'!D71+' Macroeconomy (ktoe)'!D104+' Macroeconomy (ktoe)'!D123+' Macroeconomy (ktoe)'!D139</f>
        <v>474.77787331613638</v>
      </c>
      <c r="F252" s="245">
        <f>' Macroeconomy (ktoe)'!E71+' Macroeconomy (ktoe)'!E104+' Macroeconomy (ktoe)'!E123+' Macroeconomy (ktoe)'!E139</f>
        <v>490.58947167287664</v>
      </c>
      <c r="G252" s="245">
        <f>' Macroeconomy (ktoe)'!F71+' Macroeconomy (ktoe)'!F104+' Macroeconomy (ktoe)'!F123+' Macroeconomy (ktoe)'!F139</f>
        <v>466.03611349957009</v>
      </c>
      <c r="H252" s="245">
        <f>' Macroeconomy (ktoe)'!G71+' Macroeconomy (ktoe)'!G104+' Macroeconomy (ktoe)'!G123+' Macroeconomy (ktoe)'!G139</f>
        <v>438.95098882201205</v>
      </c>
      <c r="I252" s="245">
        <f>' Macroeconomy (ktoe)'!H71+' Macroeconomy (ktoe)'!H104+' Macroeconomy (ktoe)'!H123+' Macroeconomy (ktoe)'!H139</f>
        <v>430.61526702971236</v>
      </c>
      <c r="J252" s="245">
        <f>' Macroeconomy (ktoe)'!I71+' Macroeconomy (ktoe)'!I104+' Macroeconomy (ktoe)'!I123+' Macroeconomy (ktoe)'!I139</f>
        <v>472.36552976019868</v>
      </c>
      <c r="K252" s="245">
        <f>' Macroeconomy (ktoe)'!J71+' Macroeconomy (ktoe)'!J104+' Macroeconomy (ktoe)'!J123+' Macroeconomy (ktoe)'!J139</f>
        <v>475.87656444062287</v>
      </c>
      <c r="L252" s="245">
        <f>' Macroeconomy (ktoe)'!K71+' Macroeconomy (ktoe)'!K104+' Macroeconomy (ktoe)'!K123+' Macroeconomy (ktoe)'!K139</f>
        <v>481.63275054934559</v>
      </c>
      <c r="M252" s="245">
        <f>' Macroeconomy (ktoe)'!L71+' Macroeconomy (ktoe)'!L104+' Macroeconomy (ktoe)'!L123+' Macroeconomy (ktoe)'!L139</f>
        <v>464.45973058182858</v>
      </c>
      <c r="N252" s="245">
        <f>' Macroeconomy (ktoe)'!M71+' Macroeconomy (ktoe)'!M104+' Macroeconomy (ktoe)'!M123+' Macroeconomy (ktoe)'!M139</f>
        <v>461.21142638769464</v>
      </c>
      <c r="O252" s="245">
        <f>' Macroeconomy (ktoe)'!N71+' Macroeconomy (ktoe)'!N104+' Macroeconomy (ktoe)'!N123+' Macroeconomy (ktoe)'!N139</f>
        <v>479.18668195280407</v>
      </c>
    </row>
    <row r="253" spans="3:15" x14ac:dyDescent="0.3">
      <c r="C253" t="s">
        <v>1258</v>
      </c>
      <c r="D253" s="245">
        <f>' Macroeconomy (ktoe)'!C103</f>
        <v>173.94668959587273</v>
      </c>
      <c r="E253" s="245">
        <f>' Macroeconomy (ktoe)'!D103</f>
        <v>166.29406706792778</v>
      </c>
      <c r="F253" s="245">
        <f>' Macroeconomy (ktoe)'!E103</f>
        <v>168.18572656921754</v>
      </c>
      <c r="G253" s="245">
        <f>' Macroeconomy (ktoe)'!F103</f>
        <v>160.36113499570075</v>
      </c>
      <c r="H253" s="245">
        <f>' Macroeconomy (ktoe)'!G103</f>
        <v>149.52708512467757</v>
      </c>
      <c r="I253" s="245">
        <f>' Macroeconomy (ktoe)'!H103</f>
        <v>148.58125537403268</v>
      </c>
      <c r="J253" s="245">
        <f>' Macroeconomy (ktoe)'!I103</f>
        <v>164.48839208942391</v>
      </c>
      <c r="K253" s="245">
        <f>' Macroeconomy (ktoe)'!J103</f>
        <v>166.80997420464317</v>
      </c>
      <c r="L253" s="245">
        <f>' Macroeconomy (ktoe)'!K103</f>
        <v>159.93121238177127</v>
      </c>
      <c r="M253" s="245">
        <f>' Macroeconomy (ktoe)'!L103</f>
        <v>177.98796216680998</v>
      </c>
      <c r="N253" s="245">
        <f>' Macroeconomy (ktoe)'!M103</f>
        <v>171.80185344415781</v>
      </c>
      <c r="O253" s="245">
        <f>' Macroeconomy (ktoe)'!N103</f>
        <v>191.64994745390274</v>
      </c>
    </row>
    <row r="254" spans="3:15" x14ac:dyDescent="0.3">
      <c r="C254" t="s">
        <v>1259</v>
      </c>
      <c r="D254" s="245">
        <f>' Macroeconomy (ktoe)'!C104</f>
        <v>357.6000764306869</v>
      </c>
      <c r="E254" s="245">
        <f>' Macroeconomy (ktoe)'!D104</f>
        <v>332.66456482277636</v>
      </c>
      <c r="F254" s="245">
        <f>' Macroeconomy (ktoe)'!E104</f>
        <v>339.90159549058944</v>
      </c>
      <c r="G254" s="245">
        <f>' Macroeconomy (ktoe)'!F104</f>
        <v>330.08502913919938</v>
      </c>
      <c r="H254" s="245">
        <f>' Macroeconomy (ktoe)'!G104</f>
        <v>298.36629406706794</v>
      </c>
      <c r="I254" s="245">
        <f>' Macroeconomy (ktoe)'!H104</f>
        <v>283.48619470717489</v>
      </c>
      <c r="J254" s="245">
        <f>' Macroeconomy (ktoe)'!I104</f>
        <v>311.86108722652142</v>
      </c>
      <c r="K254" s="245">
        <f>' Macroeconomy (ktoe)'!J104</f>
        <v>318.14273430782458</v>
      </c>
      <c r="L254" s="245">
        <f>' Macroeconomy (ktoe)'!K104</f>
        <v>322.44196044711953</v>
      </c>
      <c r="M254" s="245">
        <f>' Macroeconomy (ktoe)'!L104</f>
        <v>326.74118658641441</v>
      </c>
      <c r="N254" s="245">
        <f>' Macroeconomy (ktoe)'!M104</f>
        <v>312.88812458201966</v>
      </c>
      <c r="O254" s="245">
        <f>' Macroeconomy (ktoe)'!N104</f>
        <v>320.05350148084455</v>
      </c>
    </row>
    <row r="255" spans="3:15" x14ac:dyDescent="0.3"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</row>
    <row r="256" spans="3:15" x14ac:dyDescent="0.3"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</row>
    <row r="257" spans="2:16" x14ac:dyDescent="0.3">
      <c r="C257" t="s">
        <v>226</v>
      </c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</row>
    <row r="258" spans="2:16" x14ac:dyDescent="0.3">
      <c r="D258" s="267" t="s">
        <v>498</v>
      </c>
      <c r="E258" s="267" t="s">
        <v>499</v>
      </c>
      <c r="F258" s="267" t="s">
        <v>500</v>
      </c>
      <c r="G258" s="267" t="s">
        <v>501</v>
      </c>
      <c r="H258" s="267" t="s">
        <v>502</v>
      </c>
      <c r="I258" s="267" t="s">
        <v>503</v>
      </c>
      <c r="J258" s="267" t="s">
        <v>504</v>
      </c>
      <c r="K258" s="267" t="s">
        <v>505</v>
      </c>
      <c r="L258" s="267" t="s">
        <v>506</v>
      </c>
      <c r="M258" s="267" t="s">
        <v>507</v>
      </c>
      <c r="N258" s="267" t="s">
        <v>508</v>
      </c>
      <c r="O258" s="267" t="s">
        <v>509</v>
      </c>
    </row>
    <row r="259" spans="2:16" x14ac:dyDescent="0.3">
      <c r="B259" s="360" t="s">
        <v>1260</v>
      </c>
      <c r="C259" t="s">
        <v>1261</v>
      </c>
      <c r="D259" s="101">
        <f>D251*41.868/3.6/1000</f>
        <v>6.903999999999999</v>
      </c>
      <c r="E259" s="101">
        <f t="shared" ref="E259:O259" si="103">E251*41.868/3.6/1000</f>
        <v>6.6180000000000012</v>
      </c>
      <c r="F259" s="101">
        <f t="shared" si="103"/>
        <v>6.9689999999999994</v>
      </c>
      <c r="G259" s="101">
        <f t="shared" si="103"/>
        <v>6.8120000000000003</v>
      </c>
      <c r="H259" s="101">
        <f t="shared" si="103"/>
        <v>6.8959999999999999</v>
      </c>
      <c r="I259" s="101">
        <f t="shared" si="103"/>
        <v>6.8440000000000003</v>
      </c>
      <c r="J259" s="101">
        <f t="shared" si="103"/>
        <v>7.293000000000001</v>
      </c>
      <c r="K259" s="101">
        <f t="shared" si="103"/>
        <v>7.2206666666666672</v>
      </c>
      <c r="L259" s="101">
        <f t="shared" si="103"/>
        <v>7.3546500000000004</v>
      </c>
      <c r="M259" s="101">
        <f t="shared" si="103"/>
        <v>7.3130111111111109</v>
      </c>
      <c r="N259" s="101">
        <f t="shared" si="103"/>
        <v>7.176111111111112</v>
      </c>
      <c r="O259" s="101">
        <f t="shared" si="103"/>
        <v>7.8808333333333334</v>
      </c>
    </row>
    <row r="260" spans="2:16" x14ac:dyDescent="0.3">
      <c r="C260" t="s">
        <v>1262</v>
      </c>
      <c r="D260" s="101">
        <f t="shared" ref="D260:O260" si="104">D252*41.868/3.6/1000</f>
        <v>6.1816666666666658</v>
      </c>
      <c r="E260" s="101">
        <f t="shared" si="104"/>
        <v>5.5216666666666674</v>
      </c>
      <c r="F260" s="101">
        <f t="shared" si="104"/>
        <v>5.7055555555555557</v>
      </c>
      <c r="G260" s="101">
        <f t="shared" si="104"/>
        <v>5.42</v>
      </c>
      <c r="H260" s="101">
        <f t="shared" si="104"/>
        <v>5.1050000000000004</v>
      </c>
      <c r="I260" s="101">
        <f t="shared" si="104"/>
        <v>5.008055555555555</v>
      </c>
      <c r="J260" s="101">
        <f t="shared" si="104"/>
        <v>5.493611111111111</v>
      </c>
      <c r="K260" s="101">
        <f t="shared" si="104"/>
        <v>5.5344444444444445</v>
      </c>
      <c r="L260" s="101">
        <f t="shared" si="104"/>
        <v>5.6013888888888896</v>
      </c>
      <c r="M260" s="101">
        <f t="shared" si="104"/>
        <v>5.4016666666666673</v>
      </c>
      <c r="N260" s="101">
        <f t="shared" si="104"/>
        <v>5.3638888888888889</v>
      </c>
      <c r="O260" s="101">
        <f t="shared" si="104"/>
        <v>5.5729411111111125</v>
      </c>
    </row>
    <row r="261" spans="2:16" x14ac:dyDescent="0.3">
      <c r="C261" t="s">
        <v>1258</v>
      </c>
      <c r="D261" s="101">
        <f t="shared" ref="D261:O261" si="105">D253*41.868/3.6/1000</f>
        <v>2.0229999999999997</v>
      </c>
      <c r="E261" s="101">
        <f t="shared" si="105"/>
        <v>1.9339999999999999</v>
      </c>
      <c r="F261" s="101">
        <f t="shared" si="105"/>
        <v>1.956</v>
      </c>
      <c r="G261" s="101">
        <f t="shared" si="105"/>
        <v>1.8649999999999998</v>
      </c>
      <c r="H261" s="101">
        <f t="shared" si="105"/>
        <v>1.7390000000000001</v>
      </c>
      <c r="I261" s="101">
        <f t="shared" si="105"/>
        <v>1.728</v>
      </c>
      <c r="J261" s="101">
        <f t="shared" si="105"/>
        <v>1.9130000000000003</v>
      </c>
      <c r="K261" s="101">
        <f t="shared" si="105"/>
        <v>1.9400000000000002</v>
      </c>
      <c r="L261" s="101">
        <f t="shared" si="105"/>
        <v>1.86</v>
      </c>
      <c r="M261" s="101">
        <f t="shared" si="105"/>
        <v>2.0699999999999998</v>
      </c>
      <c r="N261" s="101">
        <f t="shared" si="105"/>
        <v>1.9980555555555555</v>
      </c>
      <c r="O261" s="101">
        <f t="shared" si="105"/>
        <v>2.2288888888888887</v>
      </c>
    </row>
    <row r="262" spans="2:16" x14ac:dyDescent="0.3">
      <c r="C262" t="s">
        <v>1259</v>
      </c>
      <c r="D262" s="101">
        <f t="shared" ref="D262:O262" si="106">D254*41.868/3.6/1000</f>
        <v>4.1588888888888889</v>
      </c>
      <c r="E262" s="101">
        <f t="shared" si="106"/>
        <v>3.8688888888888893</v>
      </c>
      <c r="F262" s="101">
        <f t="shared" si="106"/>
        <v>3.9530555555555558</v>
      </c>
      <c r="G262" s="101">
        <f t="shared" si="106"/>
        <v>3.8388888888888886</v>
      </c>
      <c r="H262" s="101">
        <f t="shared" si="106"/>
        <v>3.4700000000000006</v>
      </c>
      <c r="I262" s="101">
        <f t="shared" si="106"/>
        <v>3.2969444444444438</v>
      </c>
      <c r="J262" s="101">
        <f t="shared" si="106"/>
        <v>3.6269444444444443</v>
      </c>
      <c r="K262" s="101">
        <f t="shared" si="106"/>
        <v>3.7</v>
      </c>
      <c r="L262" s="101">
        <f t="shared" si="106"/>
        <v>3.7500000000000004</v>
      </c>
      <c r="M262" s="101">
        <f t="shared" si="106"/>
        <v>3.8</v>
      </c>
      <c r="N262" s="101">
        <f t="shared" si="106"/>
        <v>3.6388888888888888</v>
      </c>
      <c r="O262" s="101">
        <f t="shared" si="106"/>
        <v>3.7222222222222223</v>
      </c>
      <c r="P262">
        <f>O262*100/D262</f>
        <v>89.500400748063058</v>
      </c>
    </row>
    <row r="265" spans="2:16" x14ac:dyDescent="0.3">
      <c r="D265" s="264" t="s">
        <v>498</v>
      </c>
      <c r="E265" s="264" t="s">
        <v>499</v>
      </c>
      <c r="F265" s="264" t="s">
        <v>500</v>
      </c>
      <c r="G265" s="264" t="s">
        <v>501</v>
      </c>
      <c r="H265" s="264" t="s">
        <v>502</v>
      </c>
      <c r="I265" s="264" t="s">
        <v>503</v>
      </c>
      <c r="J265" s="264" t="s">
        <v>504</v>
      </c>
      <c r="K265" s="264" t="s">
        <v>505</v>
      </c>
      <c r="L265" s="264" t="s">
        <v>506</v>
      </c>
      <c r="M265" s="264" t="s">
        <v>507</v>
      </c>
      <c r="N265" s="264" t="s">
        <v>508</v>
      </c>
      <c r="O265" s="264" t="s">
        <v>509</v>
      </c>
    </row>
    <row r="266" spans="2:16" x14ac:dyDescent="0.3">
      <c r="C266" t="s">
        <v>1261</v>
      </c>
      <c r="D266" s="101"/>
      <c r="E266" s="101"/>
      <c r="F266" s="101"/>
      <c r="G266" s="101"/>
      <c r="H266" s="101">
        <v>100</v>
      </c>
      <c r="I266" s="101">
        <f>I259*100/$H259</f>
        <v>99.245939675174014</v>
      </c>
      <c r="J266" s="101">
        <f t="shared" ref="J266:O266" si="107">J259*100/$H259</f>
        <v>105.75696055684456</v>
      </c>
      <c r="K266" s="101">
        <f t="shared" si="107"/>
        <v>104.70804331013149</v>
      </c>
      <c r="L266" s="101">
        <f t="shared" si="107"/>
        <v>106.65095707656613</v>
      </c>
      <c r="M266" s="101">
        <f t="shared" si="107"/>
        <v>106.04714488270173</v>
      </c>
      <c r="N266" s="101">
        <f t="shared" si="107"/>
        <v>104.06193606599641</v>
      </c>
      <c r="O266" s="101">
        <f t="shared" si="107"/>
        <v>114.28122583139985</v>
      </c>
      <c r="P266" s="245"/>
    </row>
    <row r="267" spans="2:16" x14ac:dyDescent="0.3">
      <c r="C267" t="s">
        <v>1262</v>
      </c>
      <c r="D267" s="101"/>
      <c r="E267" s="101"/>
      <c r="F267" s="101"/>
      <c r="G267" s="101"/>
      <c r="H267" s="101">
        <v>100</v>
      </c>
      <c r="I267" s="101">
        <f>I260*100/$H260</f>
        <v>98.100990314506447</v>
      </c>
      <c r="J267" s="101">
        <f>J260*100/$H260</f>
        <v>107.61236260746543</v>
      </c>
      <c r="K267" s="101">
        <f t="shared" ref="K267:O267" si="108">K260*100/$H260</f>
        <v>108.41223201654151</v>
      </c>
      <c r="L267" s="101">
        <f t="shared" si="108"/>
        <v>109.7235825443465</v>
      </c>
      <c r="M267" s="101">
        <f t="shared" si="108"/>
        <v>105.81129611492003</v>
      </c>
      <c r="N267" s="101">
        <f t="shared" si="108"/>
        <v>105.07128087931221</v>
      </c>
      <c r="O267" s="101">
        <f t="shared" si="108"/>
        <v>109.16632930677986</v>
      </c>
      <c r="P267" s="245"/>
    </row>
    <row r="268" spans="2:16" x14ac:dyDescent="0.3">
      <c r="C268" t="s">
        <v>1258</v>
      </c>
      <c r="D268" s="101"/>
      <c r="E268" s="101"/>
      <c r="F268" s="101"/>
      <c r="G268" s="101"/>
      <c r="H268" s="101">
        <v>100</v>
      </c>
      <c r="I268" s="101">
        <f>I261*100/$H261</f>
        <v>99.36745255894192</v>
      </c>
      <c r="J268" s="101">
        <f t="shared" ref="J268:O268" si="109">J261*100/$H261</f>
        <v>110.00575043128235</v>
      </c>
      <c r="K268" s="101">
        <f t="shared" si="109"/>
        <v>111.55836687751582</v>
      </c>
      <c r="L268" s="101">
        <f t="shared" si="109"/>
        <v>106.95802185163886</v>
      </c>
      <c r="M268" s="101">
        <f t="shared" si="109"/>
        <v>119.03392754456581</v>
      </c>
      <c r="N268" s="101">
        <f t="shared" si="109"/>
        <v>114.89681170532234</v>
      </c>
      <c r="O268" s="101">
        <f t="shared" si="109"/>
        <v>128.17072391540475</v>
      </c>
      <c r="P268" s="245"/>
    </row>
    <row r="269" spans="2:16" x14ac:dyDescent="0.3">
      <c r="C269" t="s">
        <v>1259</v>
      </c>
      <c r="D269" s="101"/>
      <c r="E269" s="101"/>
      <c r="F269" s="101"/>
      <c r="G269" s="101"/>
      <c r="H269" s="101">
        <v>100</v>
      </c>
      <c r="I269" s="101">
        <f>I262*100/$H262</f>
        <v>95.012808197246201</v>
      </c>
      <c r="J269" s="101">
        <f>J262*100/$H262</f>
        <v>104.52289465257763</v>
      </c>
      <c r="K269" s="101">
        <f>K262*100/$H262</f>
        <v>106.62824207492794</v>
      </c>
      <c r="L269" s="101">
        <f>L262*100/$H262</f>
        <v>108.06916426512969</v>
      </c>
      <c r="M269" s="101">
        <f t="shared" ref="M269:O269" si="110">M262*100/$H262</f>
        <v>109.51008645533139</v>
      </c>
      <c r="N269" s="101">
        <f t="shared" si="110"/>
        <v>104.86711495357025</v>
      </c>
      <c r="O269" s="101">
        <f t="shared" si="110"/>
        <v>107.26865193723981</v>
      </c>
      <c r="P269" s="245"/>
    </row>
    <row r="270" spans="2:16" x14ac:dyDescent="0.3">
      <c r="P270" s="245"/>
    </row>
    <row r="271" spans="2:16" x14ac:dyDescent="0.3">
      <c r="P271" s="245"/>
    </row>
    <row r="272" spans="2:16" x14ac:dyDescent="0.3">
      <c r="P272" s="245"/>
    </row>
    <row r="273" spans="16:16" x14ac:dyDescent="0.3">
      <c r="P273" s="245"/>
    </row>
    <row r="274" spans="16:16" x14ac:dyDescent="0.3">
      <c r="P274" s="245"/>
    </row>
    <row r="275" spans="16:16" x14ac:dyDescent="0.3">
      <c r="P275" s="245"/>
    </row>
    <row r="276" spans="16:16" x14ac:dyDescent="0.3">
      <c r="P276" s="245"/>
    </row>
    <row r="277" spans="16:16" x14ac:dyDescent="0.3">
      <c r="P277" s="245"/>
    </row>
    <row r="278" spans="16:16" x14ac:dyDescent="0.3">
      <c r="P278" s="245"/>
    </row>
    <row r="279" spans="16:16" x14ac:dyDescent="0.3">
      <c r="P279" s="245"/>
    </row>
    <row r="280" spans="16:16" x14ac:dyDescent="0.3">
      <c r="P280" s="245"/>
    </row>
    <row r="281" spans="16:16" x14ac:dyDescent="0.3">
      <c r="P281" s="245"/>
    </row>
    <row r="282" spans="16:16" x14ac:dyDescent="0.3">
      <c r="P282" s="245"/>
    </row>
    <row r="283" spans="16:16" x14ac:dyDescent="0.3">
      <c r="P283" s="245"/>
    </row>
    <row r="284" spans="16:16" x14ac:dyDescent="0.3">
      <c r="P284" s="245"/>
    </row>
    <row r="285" spans="16:16" x14ac:dyDescent="0.3">
      <c r="P285" s="245"/>
    </row>
    <row r="286" spans="16:16" x14ac:dyDescent="0.3">
      <c r="P286" s="245"/>
    </row>
    <row r="287" spans="16:16" x14ac:dyDescent="0.3">
      <c r="P287" s="245"/>
    </row>
    <row r="291" spans="2:7" x14ac:dyDescent="0.3">
      <c r="C291" s="244"/>
    </row>
    <row r="292" spans="2:7" x14ac:dyDescent="0.3">
      <c r="B292" s="360" t="s">
        <v>1263</v>
      </c>
      <c r="C292" s="244" t="s">
        <v>1264</v>
      </c>
      <c r="D292" s="268"/>
      <c r="F292">
        <v>2020</v>
      </c>
      <c r="G292">
        <v>2021</v>
      </c>
    </row>
    <row r="293" spans="2:7" x14ac:dyDescent="0.3">
      <c r="D293" s="270" t="s">
        <v>88</v>
      </c>
      <c r="E293" s="270" t="s">
        <v>224</v>
      </c>
      <c r="F293" s="270" t="s">
        <v>103</v>
      </c>
    </row>
    <row r="294" spans="2:7" x14ac:dyDescent="0.3">
      <c r="C294" s="244" t="s">
        <v>622</v>
      </c>
      <c r="D294" s="269">
        <f>' Macroeconomy (ktoe)'!M73</f>
        <v>408.02044520875125</v>
      </c>
      <c r="E294" s="246">
        <f>D294*41.868/3.6</f>
        <v>4745.2777777777774</v>
      </c>
      <c r="F294" s="252">
        <f>E294*100/E$299</f>
        <v>14.965134207022215</v>
      </c>
      <c r="G294" s="252">
        <f>F294*100/F$299</f>
        <v>14.965134207022214</v>
      </c>
    </row>
    <row r="295" spans="2:7" x14ac:dyDescent="0.3">
      <c r="C295" s="244" t="s">
        <v>122</v>
      </c>
      <c r="D295" s="269">
        <f>' Macroeconomy (ktoe)'!M88</f>
        <v>792.77730008598451</v>
      </c>
      <c r="E295" s="246">
        <f t="shared" ref="E295:E298" si="111">D295*41.868/3.6</f>
        <v>9220</v>
      </c>
      <c r="F295" s="252">
        <f t="shared" ref="F295:G298" si="112">E295*100/E$299</f>
        <v>29.077020113532836</v>
      </c>
      <c r="G295" s="252">
        <f t="shared" si="112"/>
        <v>29.077020113532832</v>
      </c>
    </row>
    <row r="296" spans="2:7" x14ac:dyDescent="0.3">
      <c r="C296" s="244" t="s">
        <v>1252</v>
      </c>
      <c r="D296" s="269">
        <f>' Macroeconomy (ktoe)'!M108</f>
        <v>944.73105952039737</v>
      </c>
      <c r="E296" s="246">
        <f t="shared" si="111"/>
        <v>10987.222222222223</v>
      </c>
      <c r="F296" s="252">
        <f t="shared" si="112"/>
        <v>34.650290840283134</v>
      </c>
      <c r="G296" s="252">
        <f t="shared" si="112"/>
        <v>34.650290840283127</v>
      </c>
    </row>
    <row r="297" spans="2:7" x14ac:dyDescent="0.3">
      <c r="C297" s="244" t="s">
        <v>621</v>
      </c>
      <c r="D297" s="269">
        <f>' Macroeconomy (ktoe)'!M141</f>
        <v>471.50568453233973</v>
      </c>
      <c r="E297" s="246">
        <f t="shared" si="111"/>
        <v>5483.6111111111113</v>
      </c>
      <c r="F297" s="252">
        <f t="shared" si="112"/>
        <v>17.293608521970707</v>
      </c>
      <c r="G297" s="252">
        <f t="shared" si="112"/>
        <v>17.293608521970704</v>
      </c>
    </row>
    <row r="298" spans="2:7" x14ac:dyDescent="0.3">
      <c r="C298" s="244" t="s">
        <v>623</v>
      </c>
      <c r="D298" s="269">
        <f>' Macroeconomy (ktoe)'!M125</f>
        <v>109.43918983471862</v>
      </c>
      <c r="E298" s="246">
        <f t="shared" si="111"/>
        <v>1272.7777777777776</v>
      </c>
      <c r="F298" s="252">
        <f t="shared" si="112"/>
        <v>4.0139463171911132</v>
      </c>
      <c r="G298" s="252">
        <f t="shared" si="112"/>
        <v>4.0139463171911123</v>
      </c>
    </row>
    <row r="299" spans="2:7" x14ac:dyDescent="0.3">
      <c r="D299" s="269">
        <f>SUM(D294:D298)</f>
        <v>2726.4736791821915</v>
      </c>
      <c r="E299" s="245">
        <f>SUM(E294:E298)</f>
        <v>31708.888888888887</v>
      </c>
      <c r="F299" s="252">
        <f>SUM(F294:F298)</f>
        <v>100.00000000000001</v>
      </c>
      <c r="G299" s="252">
        <f>SUM(G294:G298)</f>
        <v>99.999999999999972</v>
      </c>
    </row>
    <row r="301" spans="2:7" x14ac:dyDescent="0.3">
      <c r="C301" s="244"/>
    </row>
    <row r="302" spans="2:7" x14ac:dyDescent="0.3">
      <c r="C302" s="244"/>
      <c r="E302" s="251"/>
    </row>
    <row r="303" spans="2:7" x14ac:dyDescent="0.3">
      <c r="C303" s="244"/>
      <c r="E303" s="251"/>
    </row>
    <row r="304" spans="2:7" x14ac:dyDescent="0.3">
      <c r="C304" s="244"/>
      <c r="E304" s="251"/>
    </row>
    <row r="305" spans="2:16" x14ac:dyDescent="0.3">
      <c r="C305" s="244"/>
      <c r="E305" s="251"/>
    </row>
    <row r="309" spans="2:16" ht="15.6" x14ac:dyDescent="0.3">
      <c r="B309" s="360" t="s">
        <v>1265</v>
      </c>
      <c r="C309" s="362" t="s">
        <v>1266</v>
      </c>
    </row>
    <row r="310" spans="2:16" x14ac:dyDescent="0.3">
      <c r="C310" s="364"/>
      <c r="D310" s="363" t="s">
        <v>499</v>
      </c>
      <c r="E310" s="363" t="s">
        <v>500</v>
      </c>
      <c r="F310" s="363" t="s">
        <v>501</v>
      </c>
      <c r="G310" s="363" t="s">
        <v>502</v>
      </c>
      <c r="H310" s="363" t="s">
        <v>503</v>
      </c>
      <c r="I310" s="363" t="s">
        <v>504</v>
      </c>
      <c r="J310" s="363" t="s">
        <v>505</v>
      </c>
      <c r="K310" s="363" t="s">
        <v>506</v>
      </c>
      <c r="L310" s="363" t="s">
        <v>507</v>
      </c>
      <c r="M310" s="363" t="s">
        <v>508</v>
      </c>
      <c r="N310" s="363" t="s">
        <v>509</v>
      </c>
      <c r="O310" t="s">
        <v>1267</v>
      </c>
      <c r="P310">
        <v>2011</v>
      </c>
    </row>
    <row r="311" spans="2:16" x14ac:dyDescent="0.3">
      <c r="C311" s="361" t="s">
        <v>1268</v>
      </c>
      <c r="D311" s="365">
        <f>'Service (GWh)'!D37</f>
        <v>577</v>
      </c>
      <c r="E311" s="365">
        <f>'Service (GWh)'!E37</f>
        <v>1117</v>
      </c>
      <c r="F311" s="365">
        <f>'Service (GWh)'!F37</f>
        <v>1111</v>
      </c>
      <c r="G311" s="365">
        <f>'Service (GWh)'!G37</f>
        <v>1021</v>
      </c>
      <c r="H311" s="365">
        <f>'Service (GWh)'!H37</f>
        <v>951</v>
      </c>
      <c r="I311" s="365">
        <f>'Service (GWh)'!I37</f>
        <v>1051</v>
      </c>
      <c r="J311" s="365">
        <f>'Service (GWh)'!J37</f>
        <v>1409</v>
      </c>
      <c r="K311" s="365">
        <f>'Service (GWh)'!K37</f>
        <v>1420</v>
      </c>
      <c r="L311" s="365">
        <f>'Service (GWh)'!L37</f>
        <v>1403</v>
      </c>
      <c r="M311" s="365">
        <f>'Service (GWh)'!M37</f>
        <v>1219</v>
      </c>
      <c r="N311" s="365">
        <f>'Service (GWh)'!N37</f>
        <v>1772</v>
      </c>
      <c r="O311" s="313">
        <f>N311/N314</f>
        <v>0.29990127403507122</v>
      </c>
      <c r="P311" s="313">
        <f>D311/D314</f>
        <v>0.12336381993110822</v>
      </c>
    </row>
    <row r="312" spans="2:16" x14ac:dyDescent="0.3">
      <c r="C312" s="361" t="s">
        <v>1269</v>
      </c>
      <c r="D312" s="366">
        <f>'Service (GWh)'!D28</f>
        <v>161</v>
      </c>
      <c r="E312" s="366">
        <f>'Service (GWh)'!E28</f>
        <v>204</v>
      </c>
      <c r="F312" s="366">
        <f>'Service (GWh)'!F28</f>
        <v>215</v>
      </c>
      <c r="G312" s="366">
        <f>'Service (GWh)'!G28</f>
        <v>231</v>
      </c>
      <c r="H312" s="366">
        <f>'Service (GWh)'!H28</f>
        <v>199</v>
      </c>
      <c r="I312" s="366">
        <f>'Service (GWh)'!I28</f>
        <v>193</v>
      </c>
      <c r="J312" s="366">
        <f>'Service (GWh)'!J28</f>
        <v>240</v>
      </c>
      <c r="K312" s="366">
        <f>'Service (GWh)'!K28</f>
        <v>252</v>
      </c>
      <c r="L312" s="366">
        <f>'Service (GWh)'!L28</f>
        <v>256</v>
      </c>
      <c r="M312" s="366">
        <f>'Service (GWh)'!M28</f>
        <v>271</v>
      </c>
      <c r="N312" s="366">
        <f>'Service (GWh)'!N28</f>
        <v>381</v>
      </c>
      <c r="O312" s="313">
        <f>N312/N314</f>
        <v>6.4482158807766435E-2</v>
      </c>
      <c r="P312" s="313">
        <f>D312/D314</f>
        <v>3.4422140396721708E-2</v>
      </c>
    </row>
    <row r="313" spans="2:16" x14ac:dyDescent="0.3">
      <c r="C313" s="361" t="s">
        <v>1270</v>
      </c>
      <c r="D313" s="366">
        <f>'Service (GWh)'!D19-D312-D311</f>
        <v>3939.2222222222217</v>
      </c>
      <c r="E313" s="366">
        <f>'Service (GWh)'!E19-E312-E311</f>
        <v>3604.5555555555557</v>
      </c>
      <c r="F313" s="366">
        <f>'Service (GWh)'!F19-F312-F311</f>
        <v>3534.2777777777774</v>
      </c>
      <c r="G313" s="366">
        <f>'Service (GWh)'!G19-G312-G311</f>
        <v>4070.2222222222217</v>
      </c>
      <c r="H313" s="366">
        <f>'Service (GWh)'!H19-H312-H311</f>
        <v>4262.5</v>
      </c>
      <c r="I313" s="366">
        <f>'Service (GWh)'!I19-I312-I311</f>
        <v>4550.166666666667</v>
      </c>
      <c r="J313" s="366">
        <f>'Service (GWh)'!J19-J312-J311</f>
        <v>3802.1111111111113</v>
      </c>
      <c r="K313" s="366">
        <f>'Service (GWh)'!K19-K312-K311</f>
        <v>4030.5</v>
      </c>
      <c r="L313" s="366">
        <f>'Service (GWh)'!L19-L312-L311</f>
        <v>3776</v>
      </c>
      <c r="M313" s="366">
        <f>'Service (GWh)'!M19-M312-M311</f>
        <v>3993.8888888888887</v>
      </c>
      <c r="N313" s="366">
        <f>'Service (GWh)'!N19-N312-N311</f>
        <v>3755.6111111111113</v>
      </c>
    </row>
    <row r="314" spans="2:16" x14ac:dyDescent="0.3">
      <c r="C314" s="244" t="s">
        <v>1271</v>
      </c>
      <c r="D314" s="248">
        <f>SUM(D311:D313)</f>
        <v>4677.2222222222217</v>
      </c>
      <c r="E314" s="248">
        <f t="shared" ref="E314:N314" si="113">SUM(E311:E313)</f>
        <v>4925.5555555555557</v>
      </c>
      <c r="F314" s="248">
        <f t="shared" si="113"/>
        <v>4860.2777777777774</v>
      </c>
      <c r="G314" s="248">
        <f t="shared" si="113"/>
        <v>5322.2222222222217</v>
      </c>
      <c r="H314" s="248">
        <f t="shared" si="113"/>
        <v>5412.5</v>
      </c>
      <c r="I314" s="248">
        <f t="shared" si="113"/>
        <v>5794.166666666667</v>
      </c>
      <c r="J314" s="248">
        <f t="shared" si="113"/>
        <v>5451.1111111111113</v>
      </c>
      <c r="K314" s="248">
        <f t="shared" si="113"/>
        <v>5702.5</v>
      </c>
      <c r="L314" s="248">
        <f t="shared" si="113"/>
        <v>5435</v>
      </c>
      <c r="M314" s="248">
        <f t="shared" si="113"/>
        <v>5483.8888888888887</v>
      </c>
      <c r="N314" s="248">
        <f t="shared" si="113"/>
        <v>5908.6111111111113</v>
      </c>
    </row>
    <row r="315" spans="2:16" x14ac:dyDescent="0.3"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</row>
    <row r="316" spans="2:16" x14ac:dyDescent="0.3">
      <c r="D316" s="245"/>
    </row>
    <row r="334" spans="2:2" x14ac:dyDescent="0.3">
      <c r="B334" s="360" t="s">
        <v>1272</v>
      </c>
    </row>
    <row r="349" spans="3:13" ht="15.6" x14ac:dyDescent="0.3">
      <c r="C349" s="367" t="s">
        <v>1273</v>
      </c>
    </row>
    <row r="351" spans="3:13" x14ac:dyDescent="0.3">
      <c r="C351" s="149"/>
      <c r="D351" s="368">
        <v>2010</v>
      </c>
      <c r="E351" s="368" t="s">
        <v>499</v>
      </c>
      <c r="F351" s="368" t="s">
        <v>500</v>
      </c>
      <c r="G351" s="368" t="s">
        <v>501</v>
      </c>
      <c r="H351" s="368" t="s">
        <v>502</v>
      </c>
      <c r="I351" s="368" t="s">
        <v>503</v>
      </c>
      <c r="J351" s="368" t="s">
        <v>504</v>
      </c>
      <c r="K351" s="368" t="s">
        <v>505</v>
      </c>
      <c r="L351" s="368" t="s">
        <v>506</v>
      </c>
      <c r="M351" s="368" t="s">
        <v>507</v>
      </c>
    </row>
    <row r="352" spans="3:13" x14ac:dyDescent="0.3">
      <c r="C352" s="149" t="s">
        <v>1274</v>
      </c>
      <c r="D352" s="149">
        <v>52</v>
      </c>
      <c r="E352" s="149">
        <v>191</v>
      </c>
      <c r="F352" s="149">
        <v>269</v>
      </c>
      <c r="G352" s="149">
        <v>110</v>
      </c>
      <c r="H352" s="149">
        <v>39</v>
      </c>
      <c r="I352" s="149">
        <v>45</v>
      </c>
      <c r="J352" s="149">
        <v>148</v>
      </c>
      <c r="K352" s="149">
        <v>209</v>
      </c>
      <c r="L352" s="149">
        <v>0</v>
      </c>
      <c r="M352" s="149">
        <v>51</v>
      </c>
    </row>
    <row r="354" spans="2:4" x14ac:dyDescent="0.3">
      <c r="C354" s="369" t="s">
        <v>1275</v>
      </c>
    </row>
    <row r="356" spans="2:4" x14ac:dyDescent="0.3">
      <c r="B356" s="360" t="s">
        <v>1276</v>
      </c>
      <c r="C356" s="372" t="s">
        <v>1277</v>
      </c>
      <c r="D356" t="s">
        <v>1278</v>
      </c>
    </row>
    <row r="357" spans="2:4" x14ac:dyDescent="0.3">
      <c r="C357" s="373" t="s">
        <v>1279</v>
      </c>
    </row>
    <row r="359" spans="2:4" ht="43.2" x14ac:dyDescent="0.3">
      <c r="C359" s="370" t="s">
        <v>1280</v>
      </c>
    </row>
    <row r="371" spans="2:4" ht="15.6" x14ac:dyDescent="0.3">
      <c r="C371" s="367" t="s">
        <v>1281</v>
      </c>
    </row>
    <row r="373" spans="2:4" x14ac:dyDescent="0.3">
      <c r="C373" s="372" t="s">
        <v>1277</v>
      </c>
      <c r="D373" t="s">
        <v>1282</v>
      </c>
    </row>
    <row r="374" spans="2:4" x14ac:dyDescent="0.3">
      <c r="C374" s="373" t="s">
        <v>1279</v>
      </c>
    </row>
    <row r="377" spans="2:4" x14ac:dyDescent="0.3">
      <c r="B377" s="360" t="s">
        <v>1283</v>
      </c>
    </row>
    <row r="390" spans="2:4" ht="15.6" x14ac:dyDescent="0.3">
      <c r="C390" s="367" t="s">
        <v>1284</v>
      </c>
    </row>
    <row r="392" spans="2:4" x14ac:dyDescent="0.3">
      <c r="C392" s="372" t="s">
        <v>1277</v>
      </c>
      <c r="D392" t="s">
        <v>1285</v>
      </c>
    </row>
    <row r="393" spans="2:4" x14ac:dyDescent="0.3">
      <c r="C393" s="373" t="s">
        <v>1279</v>
      </c>
    </row>
    <row r="394" spans="2:4" x14ac:dyDescent="0.3">
      <c r="B394" s="360" t="s">
        <v>1286</v>
      </c>
    </row>
    <row r="413" spans="3:3" ht="15.6" x14ac:dyDescent="0.3">
      <c r="C413" s="367" t="s">
        <v>1287</v>
      </c>
    </row>
    <row r="416" spans="3:3" ht="15.6" x14ac:dyDescent="0.3">
      <c r="C416" s="371"/>
    </row>
  </sheetData>
  <conditionalFormatting sqref="D259:O262">
    <cfRule type="containsBlanks" dxfId="6" priority="14">
      <formula>LEN(TRIM(D259))=0</formula>
    </cfRule>
    <cfRule type="cellIs" dxfId="5" priority="15" operator="between">
      <formula>-1000000000000000</formula>
      <formula>10000000000000</formula>
    </cfRule>
  </conditionalFormatting>
  <conditionalFormatting sqref="D266:O269">
    <cfRule type="containsBlanks" dxfId="4" priority="3">
      <formula>LEN(TRIM(D266))=0</formula>
    </cfRule>
    <cfRule type="cellIs" dxfId="3" priority="4" operator="between">
      <formula>-1000000000000000</formula>
      <formula>10000000000000</formula>
    </cfRule>
  </conditionalFormatting>
  <conditionalFormatting sqref="D311:N313">
    <cfRule type="containsBlanks" dxfId="2" priority="1">
      <formula>LEN(TRIM(D311))=0</formula>
    </cfRule>
    <cfRule type="cellIs" dxfId="1" priority="2" operator="between">
      <formula>-1000000000000000</formula>
      <formula>10000000000000</formula>
    </cfRule>
  </conditionalFormatting>
  <hyperlinks>
    <hyperlink ref="C357" r:id="rId1" display="https://arenguseire.ee/wp-content/uploads/2022/03/2021_the_future_of_mobility_report_web.pdf" xr:uid="{F23734E6-C8F9-49EB-921E-DF9AA862DA27}"/>
    <hyperlink ref="C374" r:id="rId2" display="https://arenguseire.ee/wp-content/uploads/2022/03/2021_the_future_of_mobility_report_web.pdf" xr:uid="{84C13628-011B-4940-AD59-4D94E0CC2411}"/>
    <hyperlink ref="C393" r:id="rId3" display="https://arenguseire.ee/wp-content/uploads/2022/03/2021_the_future_of_mobility_report_web.pdf" xr:uid="{60AC4CFC-BFA3-4482-A246-612ED2B7FFE8}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4" id="{72B1F60A-BDCE-48FE-9057-BCA8978A463E}">
            <xm:f>LEN(TRIM(' Macroeconomy (ktoe)'!C23))=0</xm:f>
            <x14:dxf>
              <fill>
                <patternFill patternType="none">
                  <bgColor auto="1"/>
                </patternFill>
              </fill>
            </x14:dxf>
          </x14:cfRule>
          <xm:sqref>C23:N25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C0D8-5B35-411B-AE71-79489EC7C95F}">
  <sheetPr>
    <tabColor rgb="FF00B0F0"/>
  </sheetPr>
  <dimension ref="A2:P223"/>
  <sheetViews>
    <sheetView zoomScale="77" zoomScaleNormal="77" workbookViewId="0">
      <pane xSplit="2" ySplit="3" topLeftCell="C66" activePane="bottomRight" state="frozen"/>
      <selection pane="topRight" activeCell="C1" sqref="C1"/>
      <selection pane="bottomLeft" activeCell="A4" sqref="A4"/>
      <selection pane="bottomRight" activeCell="L26" sqref="L26"/>
    </sheetView>
  </sheetViews>
  <sheetFormatPr defaultRowHeight="14.4" x14ac:dyDescent="0.3"/>
  <cols>
    <col min="1" max="1" width="55" customWidth="1"/>
    <col min="2" max="2" width="14.88671875" customWidth="1"/>
    <col min="3" max="3" width="10.109375" bestFit="1" customWidth="1"/>
    <col min="15" max="15" width="12.6640625" customWidth="1"/>
    <col min="16" max="16" width="33.6640625" customWidth="1"/>
  </cols>
  <sheetData>
    <row r="2" spans="1:16" ht="25.8" x14ac:dyDescent="0.3">
      <c r="A2" s="428" t="s">
        <v>54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6"/>
      <c r="P2" s="46"/>
    </row>
    <row r="3" spans="1:16" x14ac:dyDescent="0.3">
      <c r="A3" s="1" t="s">
        <v>55</v>
      </c>
      <c r="B3" s="1" t="s">
        <v>56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  <c r="O3" s="1" t="s">
        <v>57</v>
      </c>
      <c r="P3" s="1" t="s">
        <v>58</v>
      </c>
    </row>
    <row r="4" spans="1:16" ht="15.6" x14ac:dyDescent="0.3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x14ac:dyDescent="0.3">
      <c r="A5" s="2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9"/>
    </row>
    <row r="6" spans="1:16" ht="15.6" x14ac:dyDescent="0.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x14ac:dyDescent="0.3">
      <c r="A7" s="2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/>
      <c r="P7" s="9"/>
    </row>
    <row r="8" spans="1:16" ht="15.6" x14ac:dyDescent="0.3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.6" x14ac:dyDescent="0.3">
      <c r="A9" s="8" t="s">
        <v>61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">
      <c r="A10" s="12" t="s">
        <v>62</v>
      </c>
      <c r="B10" s="22" t="s">
        <v>63</v>
      </c>
      <c r="C10" s="17">
        <v>14741.1</v>
      </c>
      <c r="D10" s="17">
        <v>16677.3</v>
      </c>
      <c r="E10" s="17">
        <v>17916.7</v>
      </c>
      <c r="F10" s="17">
        <v>18910.8</v>
      </c>
      <c r="G10" s="17">
        <v>20048.2</v>
      </c>
      <c r="H10" s="17">
        <v>20631.400000000001</v>
      </c>
      <c r="I10" s="17">
        <v>21747.9</v>
      </c>
      <c r="J10" s="17">
        <v>23833.599999999999</v>
      </c>
      <c r="K10" s="17">
        <v>25932.2</v>
      </c>
      <c r="L10" s="17">
        <v>27764.7</v>
      </c>
      <c r="M10" s="17">
        <v>27465</v>
      </c>
      <c r="N10" s="17">
        <v>31444.9</v>
      </c>
      <c r="O10" s="14" t="s">
        <v>8</v>
      </c>
      <c r="P10" s="18" t="s">
        <v>64</v>
      </c>
    </row>
    <row r="11" spans="1:16" x14ac:dyDescent="0.3">
      <c r="A11" s="12" t="s">
        <v>65</v>
      </c>
      <c r="B11" s="22" t="s">
        <v>66</v>
      </c>
      <c r="C11" s="17">
        <v>17503.8</v>
      </c>
      <c r="D11" s="17">
        <v>18775.099999999999</v>
      </c>
      <c r="E11" s="17">
        <v>19381.2</v>
      </c>
      <c r="F11" s="17">
        <v>19663.900000000001</v>
      </c>
      <c r="G11" s="17">
        <v>20256</v>
      </c>
      <c r="H11" s="17">
        <v>20631.400000000001</v>
      </c>
      <c r="I11" s="17">
        <v>21282.400000000001</v>
      </c>
      <c r="J11" s="17">
        <v>22515.1</v>
      </c>
      <c r="K11" s="17">
        <v>23367.1</v>
      </c>
      <c r="L11" s="17">
        <v>24241</v>
      </c>
      <c r="M11" s="17">
        <v>24107.4</v>
      </c>
      <c r="N11" s="17">
        <v>26039.200000000001</v>
      </c>
      <c r="O11" s="14" t="s">
        <v>8</v>
      </c>
      <c r="P11" s="18" t="s">
        <v>64</v>
      </c>
    </row>
    <row r="12" spans="1:16" x14ac:dyDescent="0.3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6" x14ac:dyDescent="0.3">
      <c r="A13" s="8" t="s">
        <v>67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.6" x14ac:dyDescent="0.3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3">
      <c r="A15" s="12" t="s">
        <v>68</v>
      </c>
      <c r="B15" s="22" t="s">
        <v>69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8" t="s">
        <v>12</v>
      </c>
      <c r="P15" s="13"/>
    </row>
    <row r="16" spans="1:16" x14ac:dyDescent="0.3">
      <c r="A16" s="12" t="s">
        <v>70</v>
      </c>
      <c r="B16" s="22" t="s">
        <v>69</v>
      </c>
      <c r="C16" s="15">
        <v>0.68641799999999997</v>
      </c>
      <c r="D16" s="15">
        <v>0.69467400000000001</v>
      </c>
      <c r="E16" s="15">
        <v>0.69438200000000005</v>
      </c>
      <c r="F16" s="15">
        <v>0.71950700000000001</v>
      </c>
      <c r="G16" s="15">
        <v>0.72523800000000005</v>
      </c>
      <c r="H16" s="15">
        <v>0.72799999999999998</v>
      </c>
      <c r="I16" s="15">
        <v>0.753</v>
      </c>
      <c r="J16" s="15">
        <v>0.76999799999999996</v>
      </c>
      <c r="K16" s="15">
        <v>0.79599600000000004</v>
      </c>
      <c r="L16" s="15">
        <v>0.82092799999999999</v>
      </c>
      <c r="M16" s="15">
        <v>0.82353299999999996</v>
      </c>
      <c r="N16" s="15">
        <v>0.84353299999999998</v>
      </c>
      <c r="O16" s="18" t="s">
        <v>12</v>
      </c>
      <c r="P16" s="13"/>
    </row>
    <row r="17" spans="1:16" x14ac:dyDescent="0.3">
      <c r="A17" s="10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6" x14ac:dyDescent="0.3">
      <c r="A18" s="8" t="s">
        <v>71</v>
      </c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6" x14ac:dyDescent="0.3">
      <c r="A19" s="8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A20" s="12" t="s">
        <v>72</v>
      </c>
      <c r="B20" s="22" t="s">
        <v>63</v>
      </c>
      <c r="C20" s="17">
        <v>411.05509999999998</v>
      </c>
      <c r="D20" s="17">
        <v>613.70050000000003</v>
      </c>
      <c r="E20" s="17">
        <v>594.02120000000002</v>
      </c>
      <c r="F20" s="17">
        <v>583.98590000000002</v>
      </c>
      <c r="G20" s="17">
        <v>634.38019999999995</v>
      </c>
      <c r="H20" s="17">
        <v>589.65409999999997</v>
      </c>
      <c r="I20" s="17">
        <v>459.7</v>
      </c>
      <c r="J20" s="17">
        <v>568.70000000000005</v>
      </c>
      <c r="K20" s="17">
        <v>541.79999999999995</v>
      </c>
      <c r="L20" s="17">
        <v>659.9</v>
      </c>
      <c r="M20" s="17">
        <v>563.1</v>
      </c>
      <c r="N20" s="17">
        <v>635.4</v>
      </c>
      <c r="O20" s="18" t="s">
        <v>8</v>
      </c>
      <c r="P20" s="18" t="s">
        <v>73</v>
      </c>
    </row>
    <row r="21" spans="1:16" x14ac:dyDescent="0.3">
      <c r="A21" s="12" t="s">
        <v>74</v>
      </c>
      <c r="B21" s="22" t="s">
        <v>63</v>
      </c>
      <c r="C21" s="17">
        <v>3601.1526000000003</v>
      </c>
      <c r="D21" s="17">
        <v>4289.7894999999999</v>
      </c>
      <c r="E21" s="17">
        <v>4526.9001999999991</v>
      </c>
      <c r="F21" s="17">
        <v>4793.8828999999996</v>
      </c>
      <c r="G21" s="17">
        <v>4966.4763999999996</v>
      </c>
      <c r="H21" s="17">
        <v>4923.3197</v>
      </c>
      <c r="I21" s="17">
        <v>5229.7999999999993</v>
      </c>
      <c r="J21" s="17">
        <v>5719.7999999999993</v>
      </c>
      <c r="K21" s="17">
        <v>6230.0000000000009</v>
      </c>
      <c r="L21" s="17">
        <v>6371.8</v>
      </c>
      <c r="M21" s="17">
        <v>6256.4000000000005</v>
      </c>
      <c r="N21" s="17">
        <v>7265.8</v>
      </c>
      <c r="O21" s="18" t="s">
        <v>8</v>
      </c>
      <c r="P21" s="18" t="s">
        <v>73</v>
      </c>
    </row>
    <row r="22" spans="1:16" x14ac:dyDescent="0.3">
      <c r="A22" s="12" t="s">
        <v>75</v>
      </c>
      <c r="B22" s="22" t="s">
        <v>63</v>
      </c>
      <c r="C22" s="17">
        <v>8948.4338000000007</v>
      </c>
      <c r="D22" s="17">
        <v>9865.3427000000011</v>
      </c>
      <c r="E22" s="17">
        <v>10661.891000000001</v>
      </c>
      <c r="F22" s="17">
        <v>11303.986999999996</v>
      </c>
      <c r="G22" s="17">
        <v>12002.619099999998</v>
      </c>
      <c r="H22" s="17">
        <v>12377.5</v>
      </c>
      <c r="I22" s="17">
        <v>13056.199999999997</v>
      </c>
      <c r="J22" s="17">
        <v>14387.6</v>
      </c>
      <c r="K22" s="17">
        <v>15786.5</v>
      </c>
      <c r="L22" s="17">
        <v>17088.399999999998</v>
      </c>
      <c r="M22" s="17">
        <v>17296.099999999995</v>
      </c>
      <c r="N22" s="17">
        <v>19665</v>
      </c>
      <c r="O22" s="18" t="s">
        <v>8</v>
      </c>
      <c r="P22" s="18" t="s">
        <v>73</v>
      </c>
    </row>
    <row r="23" spans="1:16" x14ac:dyDescent="0.3">
      <c r="A23" s="42"/>
      <c r="B23" s="22"/>
      <c r="C23" s="19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21"/>
      <c r="O23" s="20"/>
      <c r="P23" s="18"/>
    </row>
    <row r="24" spans="1:16" x14ac:dyDescent="0.3">
      <c r="A24" s="12" t="s">
        <v>76</v>
      </c>
      <c r="B24" s="22" t="s">
        <v>66</v>
      </c>
      <c r="C24" s="17">
        <v>488.42020000000002</v>
      </c>
      <c r="D24" s="17">
        <v>528.93209999999999</v>
      </c>
      <c r="E24" s="17">
        <v>537.70719999999994</v>
      </c>
      <c r="F24" s="17">
        <v>511.03399999999999</v>
      </c>
      <c r="G24" s="17">
        <v>573.68020000000001</v>
      </c>
      <c r="H24" s="17">
        <v>589.70000000000005</v>
      </c>
      <c r="I24" s="17">
        <v>449.4</v>
      </c>
      <c r="J24" s="17">
        <v>480.1</v>
      </c>
      <c r="K24" s="17">
        <v>429.8</v>
      </c>
      <c r="L24" s="17">
        <v>583.29999999999995</v>
      </c>
      <c r="M24" s="17">
        <v>581.5</v>
      </c>
      <c r="N24" s="17">
        <v>490.6</v>
      </c>
      <c r="O24" s="18" t="s">
        <v>8</v>
      </c>
      <c r="P24" s="18" t="s">
        <v>73</v>
      </c>
    </row>
    <row r="25" spans="1:16" x14ac:dyDescent="0.3">
      <c r="A25" s="12" t="s">
        <v>77</v>
      </c>
      <c r="B25" s="22" t="s">
        <v>66</v>
      </c>
      <c r="C25" s="17">
        <v>3964.5989999999997</v>
      </c>
      <c r="D25" s="17">
        <v>4573.6727000000001</v>
      </c>
      <c r="E25" s="17">
        <v>4698.7450000000008</v>
      </c>
      <c r="F25" s="17">
        <v>4781.5433999999996</v>
      </c>
      <c r="G25" s="17">
        <v>4910.4049999999997</v>
      </c>
      <c r="H25" s="17">
        <v>4923.3197</v>
      </c>
      <c r="I25" s="17">
        <v>5227.2</v>
      </c>
      <c r="J25" s="17">
        <v>5566.1</v>
      </c>
      <c r="K25" s="17">
        <v>5834.5</v>
      </c>
      <c r="L25" s="17">
        <v>5669.5999999999995</v>
      </c>
      <c r="M25" s="17">
        <v>5608.2000000000007</v>
      </c>
      <c r="N25" s="17">
        <v>6026.4</v>
      </c>
      <c r="O25" s="18" t="s">
        <v>8</v>
      </c>
      <c r="P25" s="18" t="s">
        <v>73</v>
      </c>
    </row>
    <row r="26" spans="1:16" x14ac:dyDescent="0.3">
      <c r="A26" s="12" t="s">
        <v>78</v>
      </c>
      <c r="B26" s="22" t="s">
        <v>66</v>
      </c>
      <c r="C26" s="17">
        <v>10981.1</v>
      </c>
      <c r="D26" s="17">
        <v>11390.9</v>
      </c>
      <c r="E26" s="17">
        <v>11687.6</v>
      </c>
      <c r="F26" s="17">
        <v>11835.7</v>
      </c>
      <c r="G26" s="17">
        <v>12106.7</v>
      </c>
      <c r="H26" s="17">
        <v>12377.5</v>
      </c>
      <c r="I26" s="17">
        <v>12733.2</v>
      </c>
      <c r="J26" s="17">
        <v>13608.1</v>
      </c>
      <c r="K26" s="17">
        <v>14223.2</v>
      </c>
      <c r="L26" s="17">
        <v>14917.499999999996</v>
      </c>
      <c r="M26" s="17">
        <v>14952</v>
      </c>
      <c r="N26" s="17">
        <v>16239.800000000001</v>
      </c>
      <c r="O26" s="18" t="s">
        <v>8</v>
      </c>
      <c r="P26" s="18" t="s">
        <v>73</v>
      </c>
    </row>
    <row r="27" spans="1:16" x14ac:dyDescent="0.3">
      <c r="A27" s="10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3"/>
    </row>
    <row r="28" spans="1:16" ht="15.6" x14ac:dyDescent="0.3">
      <c r="A28" s="8" t="s">
        <v>79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3"/>
    </row>
    <row r="29" spans="1:16" ht="15.6" x14ac:dyDescent="0.3">
      <c r="A29" s="8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3"/>
    </row>
    <row r="30" spans="1:16" x14ac:dyDescent="0.3">
      <c r="A30" s="12" t="s">
        <v>80</v>
      </c>
      <c r="B30" s="22" t="s">
        <v>63</v>
      </c>
      <c r="C30" s="17">
        <v>7943.0469999999996</v>
      </c>
      <c r="D30" s="17">
        <v>8609.0694999999996</v>
      </c>
      <c r="E30" s="17">
        <v>9377.1087000000007</v>
      </c>
      <c r="F30" s="17">
        <v>10020.5933</v>
      </c>
      <c r="G30" s="17">
        <v>10488.3693</v>
      </c>
      <c r="H30" s="17">
        <v>10772.8</v>
      </c>
      <c r="I30" s="17">
        <v>11259</v>
      </c>
      <c r="J30" s="17">
        <v>12024.9</v>
      </c>
      <c r="K30" s="17">
        <v>12929.8</v>
      </c>
      <c r="L30" s="17">
        <v>13726.7</v>
      </c>
      <c r="M30" s="17">
        <v>13204.5</v>
      </c>
      <c r="N30" s="17">
        <v>14625.5</v>
      </c>
      <c r="O30" s="14" t="s">
        <v>8</v>
      </c>
      <c r="P30" s="18" t="s">
        <v>81</v>
      </c>
    </row>
    <row r="31" spans="1:16" x14ac:dyDescent="0.3">
      <c r="A31" s="12" t="s">
        <v>82</v>
      </c>
      <c r="B31" s="22" t="s">
        <v>66</v>
      </c>
      <c r="C31" s="17">
        <v>8971.7525000000005</v>
      </c>
      <c r="D31" s="17">
        <v>9255.2047000000002</v>
      </c>
      <c r="E31" s="17">
        <v>9676.0995000000003</v>
      </c>
      <c r="F31" s="17">
        <v>10042.1124</v>
      </c>
      <c r="G31" s="17">
        <v>10438.3302</v>
      </c>
      <c r="H31" s="17">
        <v>10772.8</v>
      </c>
      <c r="I31" s="17">
        <v>11140.9</v>
      </c>
      <c r="J31" s="17">
        <v>11376.7</v>
      </c>
      <c r="K31" s="17">
        <v>11789.9</v>
      </c>
      <c r="L31" s="17">
        <v>12201.8</v>
      </c>
      <c r="M31" s="17">
        <v>11842.2</v>
      </c>
      <c r="N31" s="17">
        <v>12585.7</v>
      </c>
      <c r="O31" s="14" t="s">
        <v>8</v>
      </c>
      <c r="P31" s="18" t="s">
        <v>81</v>
      </c>
    </row>
    <row r="32" spans="1:16" x14ac:dyDescent="0.3">
      <c r="A32" s="10"/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8"/>
    </row>
    <row r="33" spans="1:16" ht="15.6" x14ac:dyDescent="0.3">
      <c r="A33" s="8" t="s">
        <v>83</v>
      </c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18"/>
    </row>
    <row r="34" spans="1:16" ht="15.6" x14ac:dyDescent="0.3">
      <c r="A34" s="8"/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8"/>
    </row>
    <row r="35" spans="1:16" x14ac:dyDescent="0.3">
      <c r="A35" s="12" t="s">
        <v>83</v>
      </c>
      <c r="B35" s="22" t="s">
        <v>84</v>
      </c>
      <c r="C35" s="17">
        <v>1333.29</v>
      </c>
      <c r="D35" s="17">
        <v>1329.66</v>
      </c>
      <c r="E35" s="17">
        <v>1325.2170000000001</v>
      </c>
      <c r="F35" s="17">
        <v>1320.174</v>
      </c>
      <c r="G35" s="17">
        <v>1315.819</v>
      </c>
      <c r="H35" s="17">
        <v>1313.271</v>
      </c>
      <c r="I35" s="17">
        <v>1315.944</v>
      </c>
      <c r="J35" s="17">
        <v>1315.635</v>
      </c>
      <c r="K35" s="17">
        <v>1319.133</v>
      </c>
      <c r="L35" s="17">
        <v>1324.82</v>
      </c>
      <c r="M35" s="17">
        <v>1328.8889999999999</v>
      </c>
      <c r="N35" s="17">
        <v>1330.068</v>
      </c>
      <c r="O35" s="14" t="s">
        <v>8</v>
      </c>
      <c r="P35" s="18" t="s">
        <v>85</v>
      </c>
    </row>
    <row r="36" spans="1:16" ht="15.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3"/>
    </row>
    <row r="37" spans="1:16" ht="18" x14ac:dyDescent="0.3">
      <c r="A37" s="2" t="s">
        <v>86</v>
      </c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5.6" x14ac:dyDescent="0.3">
      <c r="A38" s="8"/>
      <c r="B38" s="13"/>
      <c r="C38" s="1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3">
      <c r="A39" s="12" t="s">
        <v>87</v>
      </c>
      <c r="B39" s="22" t="s">
        <v>88</v>
      </c>
      <c r="C39" s="17">
        <v>565.70650616222406</v>
      </c>
      <c r="D39" s="17">
        <v>528.92423808158958</v>
      </c>
      <c r="E39" s="17">
        <v>509.00449030285654</v>
      </c>
      <c r="F39" s="17">
        <v>467.11092003439381</v>
      </c>
      <c r="G39" s="17">
        <v>409.59682812649282</v>
      </c>
      <c r="H39" s="17">
        <v>282.67411865864148</v>
      </c>
      <c r="I39" s="17">
        <v>413.03620903792864</v>
      </c>
      <c r="J39" s="17">
        <v>161.41205694086179</v>
      </c>
      <c r="K39" s="17">
        <v>69.241425432311146</v>
      </c>
      <c r="L39" s="17">
        <v>-17.865673067736907</v>
      </c>
      <c r="M39" s="17">
        <v>-44.688067259004455</v>
      </c>
      <c r="N39" s="17">
        <v>-133.27601031814277</v>
      </c>
      <c r="O39" s="14" t="s">
        <v>8</v>
      </c>
      <c r="P39" s="18" t="s">
        <v>89</v>
      </c>
    </row>
    <row r="40" spans="1:16" x14ac:dyDescent="0.3">
      <c r="A40" s="12" t="s">
        <v>90</v>
      </c>
      <c r="B40" s="22" t="s">
        <v>88</v>
      </c>
      <c r="C40" s="17">
        <v>4187.9000668768513</v>
      </c>
      <c r="D40" s="17">
        <v>4162.8451323206264</v>
      </c>
      <c r="E40" s="17">
        <v>3505.6367631604085</v>
      </c>
      <c r="F40" s="17">
        <v>4274.6966657112825</v>
      </c>
      <c r="G40" s="17">
        <v>4072.5374988057706</v>
      </c>
      <c r="H40" s="17">
        <v>3273.9323588420752</v>
      </c>
      <c r="I40" s="17">
        <v>4311.1923187159646</v>
      </c>
      <c r="J40" s="17">
        <v>4445.2804050826408</v>
      </c>
      <c r="K40" s="17">
        <v>4172.6378140823526</v>
      </c>
      <c r="L40" s="17">
        <v>3001.5524983280784</v>
      </c>
      <c r="M40" s="17">
        <v>2538.7169198433171</v>
      </c>
      <c r="N40" s="17">
        <v>2757.5952995127545</v>
      </c>
      <c r="O40" s="14" t="s">
        <v>8</v>
      </c>
      <c r="P40" s="18" t="s">
        <v>89</v>
      </c>
    </row>
    <row r="41" spans="1:16" x14ac:dyDescent="0.3">
      <c r="A41" s="12" t="s">
        <v>91</v>
      </c>
      <c r="B41" s="22" t="s">
        <v>88</v>
      </c>
      <c r="C41" s="17">
        <v>562.51099999999997</v>
      </c>
      <c r="D41" s="17">
        <v>503.28899999999999</v>
      </c>
      <c r="E41" s="17">
        <v>545.4</v>
      </c>
      <c r="F41" s="17">
        <v>554.90099999999995</v>
      </c>
      <c r="G41" s="17">
        <v>435.55500000000001</v>
      </c>
      <c r="H41" s="17">
        <v>390.45600000000002</v>
      </c>
      <c r="I41" s="17">
        <v>428.267</v>
      </c>
      <c r="J41" s="17">
        <v>405.96637049775484</v>
      </c>
      <c r="K41" s="17">
        <v>413.5</v>
      </c>
      <c r="L41" s="17">
        <v>380.38597496894999</v>
      </c>
      <c r="M41" s="17">
        <v>348.14177892423805</v>
      </c>
      <c r="N41" s="17">
        <v>394.21515238368204</v>
      </c>
      <c r="O41" s="14" t="s">
        <v>8</v>
      </c>
      <c r="P41" s="18" t="s">
        <v>89</v>
      </c>
    </row>
    <row r="42" spans="1:16" x14ac:dyDescent="0.3">
      <c r="A42" s="12" t="s">
        <v>92</v>
      </c>
      <c r="B42" s="22" t="s">
        <v>88</v>
      </c>
      <c r="C42" s="17">
        <v>828.10260819719122</v>
      </c>
      <c r="D42" s="17">
        <v>801.87732874749202</v>
      </c>
      <c r="E42" s="17">
        <v>820.55507786376222</v>
      </c>
      <c r="F42" s="17">
        <v>803.45371166523364</v>
      </c>
      <c r="G42" s="17">
        <v>804.0030572274768</v>
      </c>
      <c r="H42" s="17">
        <v>841.07194038406419</v>
      </c>
      <c r="I42" s="17">
        <v>917.50262730486281</v>
      </c>
      <c r="J42" s="17">
        <v>980.24744434890601</v>
      </c>
      <c r="K42" s="17">
        <v>1066.6141205694084</v>
      </c>
      <c r="L42" s="17">
        <v>1084.9336008407377</v>
      </c>
      <c r="M42" s="17">
        <v>1193.704022164899</v>
      </c>
      <c r="N42" s="17">
        <v>1184.6517626827172</v>
      </c>
      <c r="O42" s="14" t="s">
        <v>8</v>
      </c>
      <c r="P42" s="18" t="s">
        <v>89</v>
      </c>
    </row>
    <row r="43" spans="1:16" x14ac:dyDescent="0.3">
      <c r="A43" s="12" t="s">
        <v>93</v>
      </c>
      <c r="B43" s="22" t="s">
        <v>88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4" t="s">
        <v>8</v>
      </c>
      <c r="P43" s="18" t="s">
        <v>89</v>
      </c>
    </row>
    <row r="44" spans="1:16" x14ac:dyDescent="0.3">
      <c r="A44" s="12" t="s">
        <v>94</v>
      </c>
      <c r="B44" s="22" t="s">
        <v>88</v>
      </c>
      <c r="C44" s="17">
        <v>2.3168051972867105</v>
      </c>
      <c r="D44" s="17">
        <v>2.5795356835769558</v>
      </c>
      <c r="E44" s="17">
        <v>0</v>
      </c>
      <c r="F44" s="17">
        <v>2.1973822489729624</v>
      </c>
      <c r="G44" s="17">
        <v>2.3168051972867105</v>
      </c>
      <c r="H44" s="17">
        <v>2.292920607623961</v>
      </c>
      <c r="I44" s="17">
        <v>3.0094582975064488</v>
      </c>
      <c r="J44" s="17">
        <v>2.2451514282984619</v>
      </c>
      <c r="K44" s="17">
        <v>1.2897678417884779</v>
      </c>
      <c r="L44" s="17">
        <v>1.6241520970669723</v>
      </c>
      <c r="M44" s="17">
        <v>2.5795356835769558</v>
      </c>
      <c r="N44" s="17">
        <v>1.9824209420082162</v>
      </c>
      <c r="O44" s="14" t="s">
        <v>8</v>
      </c>
      <c r="P44" s="18" t="s">
        <v>89</v>
      </c>
    </row>
    <row r="45" spans="1:16" x14ac:dyDescent="0.3">
      <c r="A45" s="12" t="s">
        <v>95</v>
      </c>
      <c r="B45" s="22" t="s">
        <v>88</v>
      </c>
      <c r="C45" s="17">
        <v>23.817</v>
      </c>
      <c r="D45" s="17">
        <v>31.699000000000002</v>
      </c>
      <c r="E45" s="17">
        <v>37.276000000000003</v>
      </c>
      <c r="F45" s="17">
        <v>45.488999999999997</v>
      </c>
      <c r="G45" s="17">
        <v>51.906999999999996</v>
      </c>
      <c r="H45" s="17">
        <v>61.478999999999999</v>
      </c>
      <c r="I45" s="17">
        <v>51.075000000000003</v>
      </c>
      <c r="J45" s="17">
        <v>62.167000000000002</v>
      </c>
      <c r="K45" s="17">
        <v>54.686</v>
      </c>
      <c r="L45" s="17">
        <v>59.071367153912298</v>
      </c>
      <c r="M45" s="17">
        <v>72.561383395433268</v>
      </c>
      <c r="N45" s="17">
        <v>63.031432119996175</v>
      </c>
      <c r="O45" s="14" t="s">
        <v>8</v>
      </c>
      <c r="P45" s="18" t="s">
        <v>89</v>
      </c>
    </row>
    <row r="46" spans="1:16" x14ac:dyDescent="0.3">
      <c r="A46" s="12" t="s">
        <v>96</v>
      </c>
      <c r="B46" s="22" t="s">
        <v>88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0.83207222699914019</v>
      </c>
      <c r="J46" s="17">
        <v>1.2460877042132417</v>
      </c>
      <c r="K46" s="17">
        <v>2.6511894525652049</v>
      </c>
      <c r="L46" s="17">
        <v>6.3294162606286424</v>
      </c>
      <c r="M46" s="17">
        <v>10.533104041272571</v>
      </c>
      <c r="N46" s="17">
        <v>30.405082640680231</v>
      </c>
      <c r="O46" s="14" t="s">
        <v>8</v>
      </c>
      <c r="P46" s="18" t="s">
        <v>89</v>
      </c>
    </row>
    <row r="47" spans="1:16" x14ac:dyDescent="0.3">
      <c r="A47" s="12" t="s">
        <v>97</v>
      </c>
      <c r="B47" s="22" t="s">
        <v>88</v>
      </c>
      <c r="C47" s="17">
        <v>-279.79363714531382</v>
      </c>
      <c r="D47" s="17">
        <v>-306.27687016337057</v>
      </c>
      <c r="E47" s="17">
        <v>-192.60533104041272</v>
      </c>
      <c r="F47" s="17">
        <v>-308.51246775580398</v>
      </c>
      <c r="G47" s="17">
        <v>-236.80137575236455</v>
      </c>
      <c r="H47" s="17">
        <v>-79.535683576956146</v>
      </c>
      <c r="I47" s="17">
        <v>-175.15047291487531</v>
      </c>
      <c r="J47" s="17">
        <v>-235.08199999999999</v>
      </c>
      <c r="K47" s="17">
        <v>-163.113</v>
      </c>
      <c r="L47" s="17">
        <v>185.46861564918314</v>
      </c>
      <c r="M47" s="17">
        <v>313.31804719594913</v>
      </c>
      <c r="N47" s="17">
        <v>226.0676411579249</v>
      </c>
      <c r="O47" s="14" t="s">
        <v>8</v>
      </c>
      <c r="P47" s="18" t="s">
        <v>89</v>
      </c>
    </row>
    <row r="48" spans="1:16" x14ac:dyDescent="0.3">
      <c r="A48" s="12" t="s">
        <v>98</v>
      </c>
      <c r="B48" s="22" t="s">
        <v>88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4" t="s">
        <v>8</v>
      </c>
      <c r="P48" s="18" t="s">
        <v>89</v>
      </c>
    </row>
    <row r="49" spans="1:16" x14ac:dyDescent="0.3">
      <c r="A49" s="12" t="s">
        <v>99</v>
      </c>
      <c r="B49" s="22" t="s">
        <v>88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28.948122671252506</v>
      </c>
      <c r="I49" s="17">
        <v>28.637623005636762</v>
      </c>
      <c r="J49" s="17">
        <v>29.760198719785993</v>
      </c>
      <c r="K49" s="17">
        <v>30.835005254609726</v>
      </c>
      <c r="L49" s="17">
        <v>27.419508932836532</v>
      </c>
      <c r="M49" s="17">
        <v>30.858889844272476</v>
      </c>
      <c r="N49" s="17">
        <v>22.594821820961116</v>
      </c>
      <c r="O49" s="14" t="s">
        <v>8</v>
      </c>
      <c r="P49" s="18" t="s">
        <v>89</v>
      </c>
    </row>
    <row r="50" spans="1:16" x14ac:dyDescent="0.3">
      <c r="A50" s="12" t="s">
        <v>100</v>
      </c>
      <c r="B50" s="22" t="s">
        <v>88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4" t="s">
        <v>8</v>
      </c>
      <c r="P50" s="18" t="s">
        <v>89</v>
      </c>
    </row>
    <row r="51" spans="1:16" x14ac:dyDescent="0.3">
      <c r="A51" s="23" t="s">
        <v>101</v>
      </c>
      <c r="B51" s="22" t="s">
        <v>88</v>
      </c>
      <c r="C51" s="32">
        <v>5890.5608101652824</v>
      </c>
      <c r="D51" s="32">
        <v>5724.9450654437751</v>
      </c>
      <c r="E51" s="32">
        <v>5228.8860227381283</v>
      </c>
      <c r="F51" s="32">
        <v>5839.3522499283445</v>
      </c>
      <c r="G51" s="32">
        <v>5539.1229578675839</v>
      </c>
      <c r="H51" s="32">
        <v>4801.3279831852487</v>
      </c>
      <c r="I51" s="32">
        <v>5978.4083309448743</v>
      </c>
      <c r="J51" s="32">
        <v>5853.253081112066</v>
      </c>
      <c r="K51" s="32">
        <v>5648.4666093436499</v>
      </c>
      <c r="L51" s="32">
        <v>4728.909907327793</v>
      </c>
      <c r="M51" s="32">
        <v>4465.7256138339544</v>
      </c>
      <c r="N51" s="32">
        <v>4547</v>
      </c>
      <c r="O51" s="14" t="s">
        <v>8</v>
      </c>
      <c r="P51" s="18" t="s">
        <v>89</v>
      </c>
    </row>
    <row r="52" spans="1:16" x14ac:dyDescent="0.3">
      <c r="A52" s="24" t="s">
        <v>102</v>
      </c>
      <c r="B52" s="25" t="s">
        <v>103</v>
      </c>
      <c r="C52" s="87">
        <f>SUM(C39:C50)/C51</f>
        <v>0.99999992176007391</v>
      </c>
      <c r="D52" s="87">
        <f t="shared" ref="D52:N52" si="0">SUM(D39:D50)/D51</f>
        <v>0.99999865487375461</v>
      </c>
      <c r="E52" s="87">
        <f t="shared" si="0"/>
        <v>0.99930787887978889</v>
      </c>
      <c r="F52" s="87">
        <f t="shared" si="0"/>
        <v>0.99999725345833224</v>
      </c>
      <c r="G52" s="87">
        <f t="shared" si="0"/>
        <v>0.99999852968367309</v>
      </c>
      <c r="H52" s="87">
        <f t="shared" si="0"/>
        <v>0.99999808269741641</v>
      </c>
      <c r="I52" s="87">
        <f t="shared" si="0"/>
        <v>0.99999891354512893</v>
      </c>
      <c r="J52" s="87">
        <f t="shared" si="0"/>
        <v>0.99999822895243695</v>
      </c>
      <c r="K52" s="87">
        <f t="shared" si="0"/>
        <v>0.99997799638039653</v>
      </c>
      <c r="L52" s="87">
        <f t="shared" si="0"/>
        <v>1.0000020203040558</v>
      </c>
      <c r="M52" s="87">
        <f t="shared" si="0"/>
        <v>1</v>
      </c>
      <c r="N52" s="87">
        <f t="shared" si="0"/>
        <v>1.0000588526374714</v>
      </c>
      <c r="O52" s="14"/>
      <c r="P52" s="14"/>
    </row>
    <row r="53" spans="1:16" x14ac:dyDescent="0.3">
      <c r="A53" s="11" t="s">
        <v>104</v>
      </c>
      <c r="B53" s="22" t="s">
        <v>88</v>
      </c>
      <c r="C53" s="88">
        <v>90.045000000000002</v>
      </c>
      <c r="D53" s="88">
        <v>81.70918123626636</v>
      </c>
      <c r="E53" s="88">
        <v>86.462214579153525</v>
      </c>
      <c r="F53" s="88">
        <v>163.89605426578771</v>
      </c>
      <c r="G53" s="88">
        <v>106.28642399923569</v>
      </c>
      <c r="H53" s="88">
        <v>91.621285946307438</v>
      </c>
      <c r="I53" s="88">
        <v>66.327505493455618</v>
      </c>
      <c r="J53" s="88">
        <v>137.4080443297984</v>
      </c>
      <c r="K53" s="88">
        <v>122.16967612496417</v>
      </c>
      <c r="L53" s="88">
        <v>122.38463743192891</v>
      </c>
      <c r="M53" s="88">
        <v>176.86538645266074</v>
      </c>
      <c r="N53" s="88">
        <v>156.13356262539409</v>
      </c>
      <c r="O53" s="14" t="s">
        <v>8</v>
      </c>
      <c r="P53" s="18" t="s">
        <v>89</v>
      </c>
    </row>
    <row r="54" spans="1:16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8" x14ac:dyDescent="0.3">
      <c r="A56" s="2" t="s">
        <v>105</v>
      </c>
      <c r="B56" s="2"/>
      <c r="C56" s="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8"/>
    </row>
    <row r="57" spans="1:16" ht="15.6" x14ac:dyDescent="0.3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.6" x14ac:dyDescent="0.3">
      <c r="A58" s="8" t="s">
        <v>106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5.6" x14ac:dyDescent="0.3">
      <c r="A59" s="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x14ac:dyDescent="0.3">
      <c r="A60" s="12" t="s">
        <v>107</v>
      </c>
      <c r="B60" s="22" t="s">
        <v>88</v>
      </c>
      <c r="C60" s="17">
        <v>60.833142256616028</v>
      </c>
      <c r="D60" s="17">
        <v>59.867870449985659</v>
      </c>
      <c r="E60" s="17">
        <v>69.251934651762681</v>
      </c>
      <c r="F60" s="17">
        <v>65.207795930065913</v>
      </c>
      <c r="G60" s="17">
        <v>62.026846278780923</v>
      </c>
      <c r="H60" s="17">
        <v>69.17837011560141</v>
      </c>
      <c r="I60" s="17">
        <v>77.376516671443568</v>
      </c>
      <c r="J60" s="17">
        <v>55.81625585172447</v>
      </c>
      <c r="K60" s="17">
        <v>51.828317569504158</v>
      </c>
      <c r="L60" s="17">
        <v>63.81962357886691</v>
      </c>
      <c r="M60" s="17">
        <v>64.440622910098398</v>
      </c>
      <c r="N60" s="17">
        <v>37.044998566924619</v>
      </c>
      <c r="O60" s="14" t="s">
        <v>8</v>
      </c>
      <c r="P60" s="18" t="s">
        <v>108</v>
      </c>
    </row>
    <row r="61" spans="1:16" x14ac:dyDescent="0.3">
      <c r="A61" s="42" t="s">
        <v>109</v>
      </c>
      <c r="B61" s="22" t="s">
        <v>88</v>
      </c>
      <c r="C61" s="17">
        <v>42.433361994840922</v>
      </c>
      <c r="D61" s="17">
        <v>46.474634565778153</v>
      </c>
      <c r="E61" s="17">
        <v>51.526225279449697</v>
      </c>
      <c r="F61" s="17">
        <v>49.505588993981078</v>
      </c>
      <c r="G61" s="17">
        <v>46.474634565778153</v>
      </c>
      <c r="H61" s="17">
        <v>50.515907136715391</v>
      </c>
      <c r="I61" s="17">
        <v>55.567497850386928</v>
      </c>
      <c r="J61" s="17">
        <v>42.281814273430783</v>
      </c>
      <c r="K61" s="17">
        <v>43.443680137575235</v>
      </c>
      <c r="L61" s="17">
        <v>38.52584312601509</v>
      </c>
      <c r="M61" s="17">
        <v>36.185153339065636</v>
      </c>
      <c r="N61" s="17">
        <v>17.364096684818954</v>
      </c>
      <c r="O61" s="14" t="s">
        <v>8</v>
      </c>
      <c r="P61" s="18" t="s">
        <v>108</v>
      </c>
    </row>
    <row r="62" spans="1:16" x14ac:dyDescent="0.3">
      <c r="A62" s="42" t="s">
        <v>110</v>
      </c>
      <c r="B62" s="22" t="s">
        <v>88</v>
      </c>
      <c r="C62" s="17">
        <v>15.171491353778542</v>
      </c>
      <c r="D62" s="17">
        <v>11.241043278876468</v>
      </c>
      <c r="E62" s="17">
        <v>11.241043278876468</v>
      </c>
      <c r="F62" s="17">
        <v>10.30428967230343</v>
      </c>
      <c r="G62" s="17">
        <v>11.241043278876468</v>
      </c>
      <c r="H62" s="17">
        <v>12.177796885449508</v>
      </c>
      <c r="I62" s="17">
        <v>12.171586892137192</v>
      </c>
      <c r="J62" s="17">
        <v>2.810260819719117</v>
      </c>
      <c r="K62" s="17">
        <v>2.9867201681475111</v>
      </c>
      <c r="L62" s="17">
        <v>14.980414636476546</v>
      </c>
      <c r="M62" s="17">
        <v>20.4690933409764</v>
      </c>
      <c r="N62" s="17">
        <v>15.047291487532243</v>
      </c>
      <c r="O62" s="14" t="s">
        <v>8</v>
      </c>
      <c r="P62" s="18" t="s">
        <v>108</v>
      </c>
    </row>
    <row r="63" spans="1:16" x14ac:dyDescent="0.3">
      <c r="A63" s="42" t="s">
        <v>111</v>
      </c>
      <c r="B63" s="22" t="s">
        <v>88</v>
      </c>
      <c r="C63" s="17">
        <v>3.2282889079965607</v>
      </c>
      <c r="D63" s="17">
        <v>2.1521926053310403</v>
      </c>
      <c r="E63" s="17">
        <v>6.4846660934365143</v>
      </c>
      <c r="F63" s="17">
        <v>5.3979172637814079</v>
      </c>
      <c r="G63" s="17">
        <v>4.3111684341263015</v>
      </c>
      <c r="H63" s="17">
        <v>6.4846660934365143</v>
      </c>
      <c r="I63" s="17">
        <v>9.6374319289194617</v>
      </c>
      <c r="J63" s="17">
        <v>10.724180758574567</v>
      </c>
      <c r="K63" s="17">
        <v>5.3979172637814079</v>
      </c>
      <c r="L63" s="17">
        <v>10.252507881914587</v>
      </c>
      <c r="M63" s="17">
        <v>8.3834909716251076</v>
      </c>
      <c r="N63" s="17">
        <v>4.6336103945734211</v>
      </c>
      <c r="O63" s="14" t="s">
        <v>8</v>
      </c>
      <c r="P63" s="18" t="s">
        <v>108</v>
      </c>
    </row>
    <row r="64" spans="1:16" x14ac:dyDescent="0.3">
      <c r="A64" s="12" t="s">
        <v>112</v>
      </c>
      <c r="B64" s="22" t="s">
        <v>88</v>
      </c>
      <c r="C64" s="17">
        <v>114.2399923569313</v>
      </c>
      <c r="D64" s="17">
        <v>114.1797627701706</v>
      </c>
      <c r="E64" s="17">
        <v>118.91057285693923</v>
      </c>
      <c r="F64" s="17">
        <v>146.39386390506888</v>
      </c>
      <c r="G64" s="17">
        <v>97.774417709128102</v>
      </c>
      <c r="H64" s="17">
        <v>94.149308347446365</v>
      </c>
      <c r="I64" s="17">
        <v>106.577628549027</v>
      </c>
      <c r="J64" s="17">
        <v>98.226719837328091</v>
      </c>
      <c r="K64" s="17">
        <v>109.02788840062429</v>
      </c>
      <c r="L64" s="17">
        <v>99.479128794350203</v>
      </c>
      <c r="M64" s="17">
        <v>94.702398012802135</v>
      </c>
      <c r="N64" s="17">
        <v>98.643355307155815</v>
      </c>
      <c r="O64" s="14" t="s">
        <v>8</v>
      </c>
      <c r="P64" s="18" t="s">
        <v>108</v>
      </c>
    </row>
    <row r="65" spans="1:16" x14ac:dyDescent="0.3">
      <c r="A65" s="12" t="s">
        <v>113</v>
      </c>
      <c r="B65" s="22" t="s">
        <v>88</v>
      </c>
      <c r="C65" s="17">
        <v>74.567688927104228</v>
      </c>
      <c r="D65" s="17">
        <v>90.188210566542466</v>
      </c>
      <c r="E65" s="17">
        <v>75.355880385974956</v>
      </c>
      <c r="F65" s="17">
        <v>125.48963408808635</v>
      </c>
      <c r="G65" s="17">
        <v>92.958822967421412</v>
      </c>
      <c r="H65" s="17">
        <v>48.055794401452175</v>
      </c>
      <c r="I65" s="17">
        <v>39.218496226234834</v>
      </c>
      <c r="J65" s="17">
        <v>54.361326072418066</v>
      </c>
      <c r="K65" s="17">
        <v>54.767364096684823</v>
      </c>
      <c r="L65" s="17">
        <v>64.583930448074909</v>
      </c>
      <c r="M65" s="17">
        <v>10.150950606668577</v>
      </c>
      <c r="N65" s="17">
        <v>0.21496130696474633</v>
      </c>
      <c r="O65" s="14" t="s">
        <v>8</v>
      </c>
      <c r="P65" s="18" t="s">
        <v>108</v>
      </c>
    </row>
    <row r="66" spans="1:16" x14ac:dyDescent="0.3">
      <c r="A66" s="42" t="s">
        <v>114</v>
      </c>
      <c r="B66" s="22" t="s">
        <v>88</v>
      </c>
      <c r="C66" s="17">
        <v>30.500620999331229</v>
      </c>
      <c r="D66" s="17">
        <v>36.976210948695893</v>
      </c>
      <c r="E66" s="17">
        <v>33.732683672494503</v>
      </c>
      <c r="F66" s="17">
        <v>27.890226425910004</v>
      </c>
      <c r="G66" s="17">
        <v>42.165854590618132</v>
      </c>
      <c r="H66" s="17">
        <v>14.266265405560331</v>
      </c>
      <c r="I66" s="17">
        <v>12.969332186873029</v>
      </c>
      <c r="J66" s="17">
        <v>17.912964555268942</v>
      </c>
      <c r="K66" s="17">
        <v>23.645743766122099</v>
      </c>
      <c r="L66" s="17">
        <v>27.53893188115028</v>
      </c>
      <c r="M66" s="17">
        <v>5.1829559568166612</v>
      </c>
      <c r="N66" s="17">
        <v>0.16719212763924715</v>
      </c>
      <c r="O66" s="14" t="s">
        <v>8</v>
      </c>
      <c r="P66" s="18" t="s">
        <v>108</v>
      </c>
    </row>
    <row r="67" spans="1:16" x14ac:dyDescent="0.3">
      <c r="A67" s="42" t="s">
        <v>115</v>
      </c>
      <c r="B67" s="22" t="s">
        <v>88</v>
      </c>
      <c r="C67" s="17">
        <v>44.067067927772996</v>
      </c>
      <c r="D67" s="17">
        <v>52.211713002770608</v>
      </c>
      <c r="E67" s="17">
        <v>41.511416833858789</v>
      </c>
      <c r="F67" s="17">
        <v>36.280691697716634</v>
      </c>
      <c r="G67" s="17">
        <v>33.916117321104423</v>
      </c>
      <c r="H67" s="17">
        <v>14.951753128881245</v>
      </c>
      <c r="I67" s="17">
        <v>9.7449125824018346</v>
      </c>
      <c r="J67" s="17">
        <v>19.991401547721409</v>
      </c>
      <c r="K67" s="17">
        <v>22.427629693321869</v>
      </c>
      <c r="L67" s="17">
        <v>19.871978599407662</v>
      </c>
      <c r="M67" s="17">
        <v>1.3853062004394763</v>
      </c>
      <c r="N67" s="17">
        <v>0</v>
      </c>
      <c r="O67" s="14" t="s">
        <v>8</v>
      </c>
      <c r="P67" s="18" t="s">
        <v>108</v>
      </c>
    </row>
    <row r="68" spans="1:16" x14ac:dyDescent="0.3">
      <c r="A68" s="42" t="s">
        <v>116</v>
      </c>
      <c r="B68" s="22" t="s">
        <v>88</v>
      </c>
      <c r="C68" s="17">
        <v>0</v>
      </c>
      <c r="D68" s="17">
        <v>0</v>
      </c>
      <c r="E68" s="17">
        <v>0</v>
      </c>
      <c r="F68" s="17">
        <v>3.403554026941817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4" t="s">
        <v>8</v>
      </c>
      <c r="P68" s="18" t="s">
        <v>108</v>
      </c>
    </row>
    <row r="69" spans="1:16" x14ac:dyDescent="0.3">
      <c r="A69" s="42" t="s">
        <v>117</v>
      </c>
      <c r="B69" s="22" t="s">
        <v>88</v>
      </c>
      <c r="C69" s="17">
        <v>0</v>
      </c>
      <c r="D69" s="17">
        <v>0.87197859940766209</v>
      </c>
      <c r="E69" s="17">
        <v>0</v>
      </c>
      <c r="F69" s="17">
        <v>57.920129932167761</v>
      </c>
      <c r="G69" s="17">
        <v>16.886404891563963</v>
      </c>
      <c r="H69" s="17">
        <v>18.844941243909428</v>
      </c>
      <c r="I69" s="17">
        <v>16.50425145695997</v>
      </c>
      <c r="J69" s="17">
        <v>16.456482277634468</v>
      </c>
      <c r="K69" s="17">
        <v>8.6939906372408515</v>
      </c>
      <c r="L69" s="17">
        <v>17.173019967516957</v>
      </c>
      <c r="M69" s="17">
        <v>3.5826884494124389</v>
      </c>
      <c r="N69" s="17">
        <v>4.7769179325499185E-2</v>
      </c>
      <c r="O69" s="14" t="s">
        <v>8</v>
      </c>
      <c r="P69" s="18" t="s">
        <v>108</v>
      </c>
    </row>
    <row r="70" spans="1:16" x14ac:dyDescent="0.3">
      <c r="A70" s="12" t="s">
        <v>118</v>
      </c>
      <c r="B70" s="22" t="s">
        <v>88</v>
      </c>
      <c r="C70" s="17">
        <v>180.13757523645742</v>
      </c>
      <c r="D70" s="17">
        <v>175.92433361994841</v>
      </c>
      <c r="E70" s="17">
        <v>188.04815133276009</v>
      </c>
      <c r="F70" s="17">
        <v>185.38263112639726</v>
      </c>
      <c r="G70" s="17">
        <v>182.0292347377472</v>
      </c>
      <c r="H70" s="17">
        <v>177.04213241616509</v>
      </c>
      <c r="I70" s="17">
        <v>185.03869303525363</v>
      </c>
      <c r="J70" s="17">
        <v>196.14025031049965</v>
      </c>
      <c r="K70" s="17">
        <v>203</v>
      </c>
      <c r="L70" s="17">
        <v>183.3104041272571</v>
      </c>
      <c r="M70" s="17">
        <v>183.05149517531288</v>
      </c>
      <c r="N70" s="17">
        <v>190.001910767173</v>
      </c>
      <c r="O70" s="14" t="s">
        <v>8</v>
      </c>
      <c r="P70" s="18" t="s">
        <v>108</v>
      </c>
    </row>
    <row r="71" spans="1:16" x14ac:dyDescent="0.3">
      <c r="A71" s="12" t="s">
        <v>119</v>
      </c>
      <c r="B71" s="22" t="s">
        <v>88</v>
      </c>
      <c r="C71" s="17">
        <v>43.541606955192506</v>
      </c>
      <c r="D71" s="17">
        <v>37.021113977261869</v>
      </c>
      <c r="E71" s="17">
        <v>35.826884494124393</v>
      </c>
      <c r="F71" s="17">
        <v>32.912964555268935</v>
      </c>
      <c r="G71" s="17">
        <v>31.814273430782457</v>
      </c>
      <c r="H71" s="17">
        <v>37.283844463552114</v>
      </c>
      <c r="I71" s="17">
        <v>37.785420846469854</v>
      </c>
      <c r="J71" s="17">
        <v>37.021113977261869</v>
      </c>
      <c r="K71" s="17">
        <v>35.755230725136137</v>
      </c>
      <c r="L71" s="17">
        <v>33.462310117512182</v>
      </c>
      <c r="M71" s="17">
        <v>36.97334479793637</v>
      </c>
      <c r="N71" s="17">
        <v>41</v>
      </c>
      <c r="O71" s="14" t="s">
        <v>8</v>
      </c>
      <c r="P71" s="18" t="s">
        <v>108</v>
      </c>
    </row>
    <row r="72" spans="1:16" x14ac:dyDescent="0.3">
      <c r="A72" s="12" t="s">
        <v>120</v>
      </c>
      <c r="B72" s="22" t="s">
        <v>88</v>
      </c>
      <c r="C72" s="17">
        <v>104.37565682621572</v>
      </c>
      <c r="D72" s="17">
        <v>109.43918983471863</v>
      </c>
      <c r="E72" s="17">
        <v>76.430686920798692</v>
      </c>
      <c r="F72" s="17">
        <v>84.28871691984331</v>
      </c>
      <c r="G72" s="17">
        <v>89.208942390369728</v>
      </c>
      <c r="H72" s="17">
        <v>109.15257475876564</v>
      </c>
      <c r="I72" s="17">
        <v>11.846756472723799</v>
      </c>
      <c r="J72" s="17">
        <v>24.171204738702585</v>
      </c>
      <c r="K72" s="17">
        <v>33.510079296837674</v>
      </c>
      <c r="L72" s="17">
        <v>14.617368873602752</v>
      </c>
      <c r="M72" s="17">
        <v>18.701633705932931</v>
      </c>
      <c r="N72" s="17">
        <v>11.249641731155059</v>
      </c>
      <c r="O72" s="14" t="s">
        <v>8</v>
      </c>
      <c r="P72" s="18" t="s">
        <v>108</v>
      </c>
    </row>
    <row r="73" spans="1:16" x14ac:dyDescent="0.3">
      <c r="A73" s="47" t="s">
        <v>121</v>
      </c>
      <c r="B73" s="22" t="s">
        <v>88</v>
      </c>
      <c r="C73" s="32">
        <v>577.69657017292445</v>
      </c>
      <c r="D73" s="32">
        <v>586.08006114454952</v>
      </c>
      <c r="E73" s="32">
        <v>564.08235406515712</v>
      </c>
      <c r="F73" s="32">
        <v>639.60542657877136</v>
      </c>
      <c r="G73" s="32">
        <v>555.84217063150857</v>
      </c>
      <c r="H73" s="32">
        <v>535.01480844559092</v>
      </c>
      <c r="I73" s="32">
        <v>457.79593006592148</v>
      </c>
      <c r="J73" s="32">
        <v>465.77338301327984</v>
      </c>
      <c r="K73" s="32">
        <v>487.84274386166038</v>
      </c>
      <c r="L73" s="32">
        <v>459.27677462501191</v>
      </c>
      <c r="M73" s="32">
        <v>408.02044520875125</v>
      </c>
      <c r="N73" s="32">
        <v>378.1647081303143</v>
      </c>
      <c r="O73" s="14" t="s">
        <v>8</v>
      </c>
      <c r="P73" s="18" t="s">
        <v>108</v>
      </c>
    </row>
    <row r="74" spans="1:16" x14ac:dyDescent="0.3">
      <c r="A74" s="24" t="s">
        <v>102</v>
      </c>
      <c r="B74" s="25" t="s">
        <v>103</v>
      </c>
      <c r="C74" s="87">
        <f>(C60+C64+C65+C70+C71+C72)/C73</f>
        <v>0.99999842890809088</v>
      </c>
      <c r="D74" s="87">
        <f t="shared" ref="D74:N74" si="1">(D60+D64+D65+D70+D71+D72)/D73</f>
        <v>1.0009220925772884</v>
      </c>
      <c r="E74" s="87">
        <f t="shared" si="1"/>
        <v>0.9995421884394432</v>
      </c>
      <c r="F74" s="87">
        <f t="shared" si="1"/>
        <v>1.0001097238125927</v>
      </c>
      <c r="G74" s="87">
        <f t="shared" si="1"/>
        <v>0.99994668789299468</v>
      </c>
      <c r="H74" s="87">
        <f t="shared" si="1"/>
        <v>0.99971443044155739</v>
      </c>
      <c r="I74" s="87">
        <f t="shared" si="1"/>
        <v>1.0001039365623552</v>
      </c>
      <c r="J74" s="87">
        <f t="shared" si="1"/>
        <v>0.99992160946357866</v>
      </c>
      <c r="K74" s="87">
        <f t="shared" si="1"/>
        <v>1.000094571924472</v>
      </c>
      <c r="L74" s="87">
        <f t="shared" si="1"/>
        <v>0.99999127174381686</v>
      </c>
      <c r="M74" s="87">
        <f t="shared" si="1"/>
        <v>1</v>
      </c>
      <c r="N74" s="87">
        <f t="shared" si="1"/>
        <v>0.99997397839954527</v>
      </c>
      <c r="O74" s="28"/>
      <c r="P74" s="28"/>
    </row>
    <row r="75" spans="1:16" ht="15.6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8"/>
    </row>
    <row r="76" spans="1:16" ht="15.6" x14ac:dyDescent="0.3">
      <c r="A76" s="8" t="s">
        <v>122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8"/>
    </row>
    <row r="77" spans="1:16" ht="15.6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8"/>
    </row>
    <row r="78" spans="1:16" x14ac:dyDescent="0.3">
      <c r="A78" s="12" t="s">
        <v>123</v>
      </c>
      <c r="B78" s="22" t="s">
        <v>88</v>
      </c>
      <c r="C78" s="17">
        <v>739.18028088277435</v>
      </c>
      <c r="D78" s="17">
        <v>737.60389796503284</v>
      </c>
      <c r="E78" s="17">
        <v>746.63227285755215</v>
      </c>
      <c r="F78" s="17">
        <v>729.74586796598828</v>
      </c>
      <c r="G78" s="17">
        <v>730.51017483519627</v>
      </c>
      <c r="H78" s="17">
        <v>750.62099933123147</v>
      </c>
      <c r="I78" s="17">
        <v>766.71921276392459</v>
      </c>
      <c r="J78" s="17">
        <v>792.87283844463548</v>
      </c>
      <c r="K78" s="17">
        <v>803.83586509983752</v>
      </c>
      <c r="L78" s="17">
        <v>788.1914588707366</v>
      </c>
      <c r="M78" s="17">
        <v>724.08522021591671</v>
      </c>
      <c r="N78" s="17">
        <v>762.63494793159452</v>
      </c>
      <c r="O78" s="14" t="s">
        <v>8</v>
      </c>
      <c r="P78" s="18" t="s">
        <v>108</v>
      </c>
    </row>
    <row r="79" spans="1:16" x14ac:dyDescent="0.3">
      <c r="A79" s="42" t="s">
        <v>124</v>
      </c>
      <c r="B79" s="22" t="s">
        <v>88</v>
      </c>
      <c r="C79" s="17">
        <v>289.00353491927007</v>
      </c>
      <c r="D79" s="17">
        <v>267.98509601605042</v>
      </c>
      <c r="E79" s="17">
        <v>256.42495461927962</v>
      </c>
      <c r="F79" s="17">
        <v>240.6611254418649</v>
      </c>
      <c r="G79" s="17">
        <v>241.71204738702588</v>
      </c>
      <c r="H79" s="17">
        <v>240.6611254418649</v>
      </c>
      <c r="I79" s="17">
        <v>254.32311072895766</v>
      </c>
      <c r="J79" s="17">
        <v>266.93417407088947</v>
      </c>
      <c r="K79" s="17">
        <v>272.18878379669434</v>
      </c>
      <c r="L79" s="17">
        <v>273.23970574185535</v>
      </c>
      <c r="M79" s="17">
        <v>214.38807681284035</v>
      </c>
      <c r="N79" s="17">
        <v>199.67516958058658</v>
      </c>
      <c r="O79" s="14" t="s">
        <v>8</v>
      </c>
      <c r="P79" s="18" t="s">
        <v>108</v>
      </c>
    </row>
    <row r="80" spans="1:16" x14ac:dyDescent="0.3">
      <c r="A80" s="42" t="s">
        <v>125</v>
      </c>
      <c r="B80" s="22" t="s">
        <v>88</v>
      </c>
      <c r="C80" s="17">
        <v>447.00009553835861</v>
      </c>
      <c r="D80" s="17">
        <v>466.03611349957004</v>
      </c>
      <c r="E80" s="17">
        <v>485.96302665520204</v>
      </c>
      <c r="F80" s="17">
        <v>483.94239036973346</v>
      </c>
      <c r="G80" s="17">
        <v>482.92251839113402</v>
      </c>
      <c r="H80" s="17">
        <v>503.1288812458202</v>
      </c>
      <c r="I80" s="17">
        <v>505.1590713671539</v>
      </c>
      <c r="J80" s="17">
        <v>517.43575045380715</v>
      </c>
      <c r="K80" s="17">
        <v>521.49613069647455</v>
      </c>
      <c r="L80" s="17">
        <v>503.15276583548291</v>
      </c>
      <c r="M80" s="17">
        <v>498.39973249259577</v>
      </c>
      <c r="N80" s="17">
        <v>550.65921467469184</v>
      </c>
      <c r="O80" s="14" t="s">
        <v>8</v>
      </c>
      <c r="P80" s="18" t="s">
        <v>108</v>
      </c>
    </row>
    <row r="81" spans="1:16" x14ac:dyDescent="0.3">
      <c r="A81" s="42" t="s">
        <v>126</v>
      </c>
      <c r="B81" s="22" t="s">
        <v>88</v>
      </c>
      <c r="C81" s="135">
        <v>2.2451514282984619</v>
      </c>
      <c r="D81" s="44">
        <v>2.4940885640584693</v>
      </c>
      <c r="E81" s="44">
        <v>3.2461187541798031</v>
      </c>
      <c r="F81" s="44">
        <v>3.8144883920894235</v>
      </c>
      <c r="G81" s="44">
        <v>4.5621715868921378</v>
      </c>
      <c r="H81" s="44">
        <v>5.4413513900831179</v>
      </c>
      <c r="I81" s="44">
        <v>6.1144549536638957</v>
      </c>
      <c r="J81" s="44">
        <v>7.308684436801375</v>
      </c>
      <c r="K81" s="44">
        <v>8.8233137479698094</v>
      </c>
      <c r="L81" s="44">
        <v>10.509219451609821</v>
      </c>
      <c r="M81" s="44">
        <v>10.103181427343078</v>
      </c>
      <c r="N81" s="44">
        <v>10.437565682621573</v>
      </c>
      <c r="O81" s="14" t="s">
        <v>8</v>
      </c>
      <c r="P81" s="18" t="s">
        <v>108</v>
      </c>
    </row>
    <row r="82" spans="1:16" x14ac:dyDescent="0.3">
      <c r="A82" s="42" t="s">
        <v>127</v>
      </c>
      <c r="B82" s="22" t="s">
        <v>88</v>
      </c>
      <c r="C82" s="17">
        <v>0.95528999999999997</v>
      </c>
      <c r="D82" s="17">
        <v>1.15917</v>
      </c>
      <c r="E82" s="17">
        <v>1.03095</v>
      </c>
      <c r="F82" s="17">
        <v>1.33257</v>
      </c>
      <c r="G82" s="17">
        <v>1.34518</v>
      </c>
      <c r="H82" s="17">
        <v>1.4208499999999999</v>
      </c>
      <c r="I82" s="17">
        <v>1.15707</v>
      </c>
      <c r="J82" s="17">
        <v>1.2222200000000001</v>
      </c>
      <c r="K82" s="17">
        <v>1.3641000000000001</v>
      </c>
      <c r="L82" s="17">
        <v>1.3641000000000001</v>
      </c>
      <c r="M82" s="17">
        <v>1.1942294831374796</v>
      </c>
      <c r="N82" s="17">
        <v>1.8629979936944683</v>
      </c>
      <c r="O82" s="14" t="s">
        <v>20</v>
      </c>
      <c r="P82" s="18"/>
    </row>
    <row r="83" spans="1:16" x14ac:dyDescent="0.3">
      <c r="A83" s="42" t="s">
        <v>128</v>
      </c>
      <c r="B83" s="22" t="s">
        <v>88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8" t="s">
        <v>8</v>
      </c>
      <c r="P83" s="18" t="s">
        <v>108</v>
      </c>
    </row>
    <row r="84" spans="1:16" x14ac:dyDescent="0.3">
      <c r="A84" s="12" t="s">
        <v>129</v>
      </c>
      <c r="B84" s="22" t="s">
        <v>88</v>
      </c>
      <c r="C84" s="17">
        <v>4.7769179325499185E-2</v>
      </c>
      <c r="D84" s="17">
        <v>0.26273048629024554</v>
      </c>
      <c r="E84" s="17">
        <v>0.5493455622432406</v>
      </c>
      <c r="F84" s="17">
        <v>0.85984522785898532</v>
      </c>
      <c r="G84" s="17">
        <v>1.5763829177414732</v>
      </c>
      <c r="H84" s="17">
        <v>2.7706124008789526</v>
      </c>
      <c r="I84" s="17">
        <v>4.13203401165568</v>
      </c>
      <c r="J84" s="17">
        <v>4.6813795738989201</v>
      </c>
      <c r="K84" s="17">
        <v>7.1176077194993788</v>
      </c>
      <c r="L84" s="17">
        <v>9.1955670201585935</v>
      </c>
      <c r="M84" s="17">
        <v>15.548867870449985</v>
      </c>
      <c r="N84" s="17">
        <v>17.196904557179707</v>
      </c>
      <c r="O84" s="18" t="s">
        <v>8</v>
      </c>
      <c r="P84" s="18" t="s">
        <v>108</v>
      </c>
    </row>
    <row r="85" spans="1:16" x14ac:dyDescent="0.3">
      <c r="A85" s="12" t="s">
        <v>130</v>
      </c>
      <c r="B85" s="22" t="s">
        <v>88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4" t="s">
        <v>8</v>
      </c>
      <c r="P85" s="18" t="s">
        <v>108</v>
      </c>
    </row>
    <row r="86" spans="1:16" x14ac:dyDescent="0.3">
      <c r="A86" s="12" t="s">
        <v>131</v>
      </c>
      <c r="B86" s="22" t="s">
        <v>88</v>
      </c>
      <c r="C86" s="17">
        <v>7.6526225279449704</v>
      </c>
      <c r="D86" s="17">
        <v>6.8787618228718834</v>
      </c>
      <c r="E86" s="17">
        <v>6.7927773000859846</v>
      </c>
      <c r="F86" s="17">
        <v>5.4170249355116074</v>
      </c>
      <c r="G86" s="17">
        <v>4.2992261392949267</v>
      </c>
      <c r="H86" s="17">
        <v>4.041272570937231</v>
      </c>
      <c r="I86" s="17">
        <v>4.1272570937231299</v>
      </c>
      <c r="J86" s="17">
        <v>4.1272570937231299</v>
      </c>
      <c r="K86" s="17">
        <v>3.6973344797936374</v>
      </c>
      <c r="L86" s="17">
        <v>4.815133276010318</v>
      </c>
      <c r="M86" s="17">
        <v>5.8278398777109004</v>
      </c>
      <c r="N86" s="17">
        <v>2.5795356835769558</v>
      </c>
      <c r="O86" s="14" t="s">
        <v>8</v>
      </c>
      <c r="P86" s="18" t="s">
        <v>108</v>
      </c>
    </row>
    <row r="87" spans="1:16" x14ac:dyDescent="0.3">
      <c r="A87" s="12" t="s">
        <v>132</v>
      </c>
      <c r="B87" s="22" t="s">
        <v>88</v>
      </c>
      <c r="C87" s="17">
        <v>7.647846507404223</v>
      </c>
      <c r="D87" s="17">
        <v>4.4498686347568546</v>
      </c>
      <c r="E87" s="17">
        <v>3.6012419986624629</v>
      </c>
      <c r="F87" s="17">
        <v>3.0565109391420657</v>
      </c>
      <c r="G87" s="17">
        <v>5.1072304624056555</v>
      </c>
      <c r="H87" s="17">
        <v>2.6</v>
      </c>
      <c r="I87" s="17">
        <v>1.9107671730199673</v>
      </c>
      <c r="J87" s="17">
        <v>2.4601127352632082</v>
      </c>
      <c r="K87" s="17">
        <v>17.459635043469952</v>
      </c>
      <c r="L87" s="17">
        <v>32.554695710327692</v>
      </c>
      <c r="M87" s="17">
        <v>47.31537212190694</v>
      </c>
      <c r="N87" s="17">
        <v>53.405942485908092</v>
      </c>
      <c r="O87" s="14" t="s">
        <v>8</v>
      </c>
      <c r="P87" s="18" t="s">
        <v>108</v>
      </c>
    </row>
    <row r="88" spans="1:16" x14ac:dyDescent="0.3">
      <c r="A88" s="47" t="s">
        <v>133</v>
      </c>
      <c r="B88" s="22" t="s">
        <v>88</v>
      </c>
      <c r="C88" s="32">
        <v>754.60972580491068</v>
      </c>
      <c r="D88" s="32">
        <v>749.25957772045467</v>
      </c>
      <c r="E88" s="32">
        <v>757.81026081971913</v>
      </c>
      <c r="F88" s="32">
        <v>739.20416547243713</v>
      </c>
      <c r="G88" s="32">
        <v>741.52097066972385</v>
      </c>
      <c r="H88" s="32">
        <v>760.007643068692</v>
      </c>
      <c r="I88" s="32">
        <v>776.89404796025599</v>
      </c>
      <c r="J88" s="32">
        <v>804.0030572274768</v>
      </c>
      <c r="K88" s="32">
        <v>832.11521926053308</v>
      </c>
      <c r="L88" s="32">
        <v>834.76640871309826</v>
      </c>
      <c r="M88" s="32">
        <v>792.77730008598451</v>
      </c>
      <c r="N88" s="32">
        <v>835.7934460685965</v>
      </c>
      <c r="O88" s="27"/>
      <c r="P88" s="18" t="s">
        <v>108</v>
      </c>
    </row>
    <row r="89" spans="1:16" ht="15.6" x14ac:dyDescent="0.3">
      <c r="A89" s="24" t="s">
        <v>134</v>
      </c>
      <c r="B89" s="25" t="s">
        <v>103</v>
      </c>
      <c r="C89" s="87">
        <f>IFERROR((C78+C84+C85+C86+C87)/C88,"")</f>
        <v>0.99989238581920614</v>
      </c>
      <c r="D89" s="87">
        <f t="shared" ref="D89:N89" si="2">IFERROR((D78+D84+D85+D86+D87)/D88,"")</f>
        <v>0.99991415683774298</v>
      </c>
      <c r="E89" s="87">
        <f t="shared" si="2"/>
        <v>0.9996903933434188</v>
      </c>
      <c r="F89" s="87">
        <f t="shared" si="2"/>
        <v>0.99983101231057536</v>
      </c>
      <c r="G89" s="87">
        <f t="shared" si="2"/>
        <v>0.99996229868582109</v>
      </c>
      <c r="H89" s="87">
        <f t="shared" si="2"/>
        <v>1.0000332118164676</v>
      </c>
      <c r="I89" s="87">
        <f t="shared" si="2"/>
        <v>0.99999385126202833</v>
      </c>
      <c r="J89" s="87">
        <f t="shared" si="2"/>
        <v>1.000172301111045</v>
      </c>
      <c r="K89" s="87">
        <f t="shared" si="2"/>
        <v>0.99999425930709829</v>
      </c>
      <c r="L89" s="87">
        <f t="shared" si="2"/>
        <v>0.99998855507868389</v>
      </c>
      <c r="M89" s="87">
        <f t="shared" si="2"/>
        <v>1</v>
      </c>
      <c r="N89" s="87">
        <f t="shared" si="2"/>
        <v>1.0000285771440003</v>
      </c>
      <c r="O89" s="8"/>
      <c r="P89" s="18"/>
    </row>
    <row r="90" spans="1:16" ht="15.6" x14ac:dyDescent="0.3">
      <c r="A90" s="24" t="s">
        <v>135</v>
      </c>
      <c r="B90" s="25" t="s">
        <v>103</v>
      </c>
      <c r="C90" s="87">
        <f t="shared" ref="C90:N90" si="3">IFERROR((C83+C82+C81+C80+C79)/C78,"")</f>
        <v>1.0000321856572314</v>
      </c>
      <c r="D90" s="87">
        <f t="shared" si="3"/>
        <v>1.0000956748125123</v>
      </c>
      <c r="E90" s="87">
        <f t="shared" si="3"/>
        <v>1.0000439000191939</v>
      </c>
      <c r="F90" s="87">
        <f t="shared" si="3"/>
        <v>1.0000064491460743</v>
      </c>
      <c r="G90" s="87">
        <f t="shared" si="3"/>
        <v>1.0000434525499429</v>
      </c>
      <c r="H90" s="87">
        <f t="shared" si="3"/>
        <v>1.0000415772361344</v>
      </c>
      <c r="I90" s="87">
        <f t="shared" si="3"/>
        <v>1.0000449894632568</v>
      </c>
      <c r="J90" s="87">
        <f t="shared" si="3"/>
        <v>1.0000353026557418</v>
      </c>
      <c r="K90" s="87">
        <f t="shared" si="3"/>
        <v>1.0000453614262368</v>
      </c>
      <c r="L90" s="87">
        <f t="shared" si="3"/>
        <v>1.0000943072363637</v>
      </c>
      <c r="M90" s="87">
        <f t="shared" si="3"/>
        <v>1</v>
      </c>
      <c r="N90" s="87">
        <f t="shared" si="3"/>
        <v>1</v>
      </c>
      <c r="O90" s="8"/>
      <c r="P90" s="18"/>
    </row>
    <row r="91" spans="1:16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8"/>
    </row>
    <row r="92" spans="1:16" ht="15.6" x14ac:dyDescent="0.3">
      <c r="A92" s="8" t="s">
        <v>136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8"/>
    </row>
    <row r="93" spans="1:16" ht="15.6" x14ac:dyDescent="0.3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8"/>
    </row>
    <row r="94" spans="1:16" x14ac:dyDescent="0.3">
      <c r="A94" s="12" t="s">
        <v>137</v>
      </c>
      <c r="B94" s="22" t="s">
        <v>88</v>
      </c>
      <c r="C94" s="17">
        <v>8.3456577815993107</v>
      </c>
      <c r="D94" s="17">
        <v>9.3559759243336202</v>
      </c>
      <c r="E94" s="17">
        <v>8.311837202636859</v>
      </c>
      <c r="F94" s="17">
        <v>7.3015190599025503</v>
      </c>
      <c r="G94" s="17">
        <v>8.3882678895576568</v>
      </c>
      <c r="H94" s="17">
        <v>9.4750167192127641</v>
      </c>
      <c r="I94" s="17">
        <v>10.638196235788669</v>
      </c>
      <c r="J94" s="17">
        <v>9.6278780930543597</v>
      </c>
      <c r="K94" s="17">
        <v>8.5411292633992542</v>
      </c>
      <c r="L94" s="17">
        <v>9.3018534441578282</v>
      </c>
      <c r="M94" s="17">
        <v>6.3771854399541414</v>
      </c>
      <c r="N94" s="17">
        <v>4.7052641635616697</v>
      </c>
      <c r="O94" s="18" t="s">
        <v>8</v>
      </c>
      <c r="P94" s="18" t="s">
        <v>108</v>
      </c>
    </row>
    <row r="95" spans="1:16" x14ac:dyDescent="0.3">
      <c r="A95" s="42" t="s">
        <v>126</v>
      </c>
      <c r="B95" s="22" t="s">
        <v>88</v>
      </c>
      <c r="C95" s="17">
        <v>4.3043852106620806</v>
      </c>
      <c r="D95" s="17">
        <v>4.3043852106620806</v>
      </c>
      <c r="E95" s="17">
        <v>3.2602464889653193</v>
      </c>
      <c r="F95" s="17">
        <v>3.2602464889653193</v>
      </c>
      <c r="G95" s="17">
        <v>4.3469953186204258</v>
      </c>
      <c r="H95" s="17">
        <v>5.4337441482755322</v>
      </c>
      <c r="I95" s="17">
        <v>7.6072418075857451</v>
      </c>
      <c r="J95" s="17">
        <v>7.6072418075857451</v>
      </c>
      <c r="K95" s="17">
        <v>6.5204929779306386</v>
      </c>
      <c r="L95" s="17">
        <v>7.2812171586892136</v>
      </c>
      <c r="M95" s="17">
        <v>4.3469953186204258</v>
      </c>
      <c r="N95" s="17">
        <v>3.702111397726187</v>
      </c>
      <c r="O95" s="18" t="s">
        <v>8</v>
      </c>
      <c r="P95" s="18" t="s">
        <v>108</v>
      </c>
    </row>
    <row r="96" spans="1:16" x14ac:dyDescent="0.3">
      <c r="A96" s="42" t="s">
        <v>138</v>
      </c>
      <c r="B96" s="22" t="s">
        <v>88</v>
      </c>
      <c r="C96" s="17">
        <v>4.041272570937231</v>
      </c>
      <c r="D96" s="17">
        <v>5.0515907136715388</v>
      </c>
      <c r="E96" s="17">
        <v>5.0515907136715388</v>
      </c>
      <c r="F96" s="17">
        <v>4.041272570937231</v>
      </c>
      <c r="G96" s="17">
        <v>4.041272570937231</v>
      </c>
      <c r="H96" s="17">
        <v>4.041272570937231</v>
      </c>
      <c r="I96" s="17">
        <v>3.0309544282029233</v>
      </c>
      <c r="J96" s="17">
        <v>2.0206362854686155</v>
      </c>
      <c r="K96" s="17">
        <v>2.0206362854686155</v>
      </c>
      <c r="L96" s="17">
        <v>2.0206362854686155</v>
      </c>
      <c r="M96" s="17">
        <v>2.0301901213337152</v>
      </c>
      <c r="N96" s="17">
        <v>1.0031527658354829</v>
      </c>
      <c r="O96" s="18" t="s">
        <v>8</v>
      </c>
      <c r="P96" s="18" t="s">
        <v>108</v>
      </c>
    </row>
    <row r="97" spans="1:16" x14ac:dyDescent="0.3">
      <c r="A97" s="42" t="s">
        <v>139</v>
      </c>
      <c r="B97" s="22" t="s">
        <v>88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8" t="s">
        <v>8</v>
      </c>
      <c r="P97" s="18" t="s">
        <v>108</v>
      </c>
    </row>
    <row r="98" spans="1:16" x14ac:dyDescent="0.3">
      <c r="A98" s="12" t="s">
        <v>140</v>
      </c>
      <c r="B98" s="22" t="s">
        <v>88</v>
      </c>
      <c r="C98" s="17">
        <v>54.910671634661313</v>
      </c>
      <c r="D98" s="17">
        <v>51.686252030190118</v>
      </c>
      <c r="E98" s="17">
        <v>54.775122351714316</v>
      </c>
      <c r="F98" s="17">
        <v>52.492790095912682</v>
      </c>
      <c r="G98" s="17">
        <v>52.214101461736874</v>
      </c>
      <c r="H98" s="17">
        <v>48.883767497761198</v>
      </c>
      <c r="I98" s="17">
        <v>57.520026260591195</v>
      </c>
      <c r="J98" s="17">
        <v>55.173277047938782</v>
      </c>
      <c r="K98" s="17">
        <v>55.0609997789036</v>
      </c>
      <c r="L98" s="17">
        <v>57.838762928658731</v>
      </c>
      <c r="M98" s="17">
        <v>56.224324066112544</v>
      </c>
      <c r="N98" s="17">
        <v>60.308588898442721</v>
      </c>
      <c r="O98" s="18" t="s">
        <v>8</v>
      </c>
      <c r="P98" s="18" t="s">
        <v>108</v>
      </c>
    </row>
    <row r="99" spans="1:16" x14ac:dyDescent="0.3">
      <c r="A99" s="12" t="s">
        <v>141</v>
      </c>
      <c r="B99" s="22" t="s">
        <v>88</v>
      </c>
      <c r="C99" s="17">
        <v>8.6290245533581729</v>
      </c>
      <c r="D99" s="17">
        <v>10.689786949460208</v>
      </c>
      <c r="E99" s="17">
        <v>9.831852488774242</v>
      </c>
      <c r="F99" s="17">
        <v>9.831852488774242</v>
      </c>
      <c r="G99" s="17">
        <v>8.1707270469093345</v>
      </c>
      <c r="H99" s="17">
        <v>5.1361421610776725</v>
      </c>
      <c r="I99" s="17">
        <v>1.9453998280309543</v>
      </c>
      <c r="J99" s="17">
        <v>2.1018438903219643</v>
      </c>
      <c r="K99" s="17">
        <v>1.0509219451609821</v>
      </c>
      <c r="L99" s="17">
        <v>1.0509219451609821</v>
      </c>
      <c r="M99" s="17">
        <v>0.95538358650998367</v>
      </c>
      <c r="N99" s="17">
        <v>0.59711474156873978</v>
      </c>
      <c r="O99" s="18" t="s">
        <v>8</v>
      </c>
      <c r="P99" s="18" t="s">
        <v>108</v>
      </c>
    </row>
    <row r="100" spans="1:16" x14ac:dyDescent="0.3">
      <c r="A100" s="42" t="s">
        <v>114</v>
      </c>
      <c r="B100" s="22" t="s">
        <v>88</v>
      </c>
      <c r="C100" s="17">
        <v>5.1896436419222312</v>
      </c>
      <c r="D100" s="17">
        <v>6.4860991688162795</v>
      </c>
      <c r="E100" s="17">
        <v>5.83834909716251</v>
      </c>
      <c r="F100" s="17">
        <v>5.83834909716251</v>
      </c>
      <c r="G100" s="17">
        <v>4.5402694181713956</v>
      </c>
      <c r="H100" s="17">
        <v>2.5948218209611156</v>
      </c>
      <c r="I100" s="17">
        <v>1.9453998280309543</v>
      </c>
      <c r="J100" s="17">
        <v>2.1018438903219643</v>
      </c>
      <c r="K100" s="17">
        <v>1.0509219451609821</v>
      </c>
      <c r="L100" s="17">
        <v>1.0509219451609821</v>
      </c>
      <c r="M100" s="17">
        <v>0.95538358650998367</v>
      </c>
      <c r="N100" s="17">
        <v>0.95538358650998367</v>
      </c>
      <c r="O100" s="18" t="s">
        <v>8</v>
      </c>
      <c r="P100" s="18" t="s">
        <v>108</v>
      </c>
    </row>
    <row r="101" spans="1:16" x14ac:dyDescent="0.3">
      <c r="A101" s="42" t="s">
        <v>115</v>
      </c>
      <c r="B101" s="22" t="s">
        <v>88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8" t="s">
        <v>8</v>
      </c>
      <c r="P101" s="18" t="s">
        <v>108</v>
      </c>
    </row>
    <row r="102" spans="1:16" x14ac:dyDescent="0.3">
      <c r="A102" s="42" t="s">
        <v>142</v>
      </c>
      <c r="B102" s="22" t="s">
        <v>88</v>
      </c>
      <c r="C102" s="17">
        <v>3.4393809114359413</v>
      </c>
      <c r="D102" s="17">
        <v>4.2036877806439286</v>
      </c>
      <c r="E102" s="17">
        <v>3.9935033916117315</v>
      </c>
      <c r="F102" s="17">
        <v>3.9935033916117315</v>
      </c>
      <c r="G102" s="17">
        <v>3.630457628737938</v>
      </c>
      <c r="H102" s="17">
        <v>2.5413203401165569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8" t="s">
        <v>8</v>
      </c>
      <c r="P102" s="18" t="s">
        <v>108</v>
      </c>
    </row>
    <row r="103" spans="1:16" x14ac:dyDescent="0.3">
      <c r="A103" s="12" t="s">
        <v>143</v>
      </c>
      <c r="B103" s="22" t="s">
        <v>88</v>
      </c>
      <c r="C103" s="17">
        <v>173.94668959587273</v>
      </c>
      <c r="D103" s="17">
        <v>166.29406706792778</v>
      </c>
      <c r="E103" s="17">
        <v>168.18572656921754</v>
      </c>
      <c r="F103" s="17">
        <v>160.36113499570075</v>
      </c>
      <c r="G103" s="17">
        <v>149.52708512467757</v>
      </c>
      <c r="H103" s="17">
        <v>148.58125537403268</v>
      </c>
      <c r="I103" s="17">
        <v>164.48839208942391</v>
      </c>
      <c r="J103" s="17">
        <v>166.80997420464317</v>
      </c>
      <c r="K103" s="17">
        <v>159.93121238177127</v>
      </c>
      <c r="L103" s="17">
        <v>177.98796216680998</v>
      </c>
      <c r="M103" s="17">
        <v>171.80185344415781</v>
      </c>
      <c r="N103" s="17">
        <v>191.64994745390274</v>
      </c>
      <c r="O103" s="18" t="s">
        <v>8</v>
      </c>
      <c r="P103" s="18" t="s">
        <v>108</v>
      </c>
    </row>
    <row r="104" spans="1:16" x14ac:dyDescent="0.3">
      <c r="A104" s="12" t="s">
        <v>144</v>
      </c>
      <c r="B104" s="22" t="s">
        <v>88</v>
      </c>
      <c r="C104" s="17">
        <v>357.6000764306869</v>
      </c>
      <c r="D104" s="17">
        <v>332.66456482277636</v>
      </c>
      <c r="E104" s="17">
        <v>339.90159549058944</v>
      </c>
      <c r="F104" s="17">
        <v>330.08502913919938</v>
      </c>
      <c r="G104" s="17">
        <v>298.36629406706794</v>
      </c>
      <c r="H104" s="17">
        <v>283.48619470717489</v>
      </c>
      <c r="I104" s="17">
        <v>311.86108722652142</v>
      </c>
      <c r="J104" s="17">
        <v>318.14273430782458</v>
      </c>
      <c r="K104" s="17">
        <v>322.44196044711953</v>
      </c>
      <c r="L104" s="17">
        <v>326.74118658641441</v>
      </c>
      <c r="M104" s="17">
        <v>312.88812458201966</v>
      </c>
      <c r="N104" s="17">
        <v>320.05350148084455</v>
      </c>
      <c r="O104" s="18" t="s">
        <v>8</v>
      </c>
      <c r="P104" s="18" t="s">
        <v>108</v>
      </c>
    </row>
    <row r="105" spans="1:16" x14ac:dyDescent="0.3">
      <c r="A105" s="12" t="s">
        <v>145</v>
      </c>
      <c r="B105" s="22" t="s">
        <v>88</v>
      </c>
      <c r="C105" s="17">
        <v>423.42600554122475</v>
      </c>
      <c r="D105" s="17">
        <v>364.55049202254702</v>
      </c>
      <c r="E105" s="17">
        <v>389.24715773383014</v>
      </c>
      <c r="F105" s="17">
        <v>373.65052068405464</v>
      </c>
      <c r="G105" s="17">
        <v>371.47702302474443</v>
      </c>
      <c r="H105" s="17">
        <v>361.44549536638959</v>
      </c>
      <c r="I105" s="17">
        <v>383.77758670106044</v>
      </c>
      <c r="J105" s="17">
        <v>390.41750262730483</v>
      </c>
      <c r="K105" s="17">
        <v>394.0957294353683</v>
      </c>
      <c r="L105" s="17">
        <v>378.37966943727906</v>
      </c>
      <c r="M105" s="17">
        <v>396.48418840164322</v>
      </c>
      <c r="N105" s="17">
        <v>387.88573612305339</v>
      </c>
      <c r="O105" s="18" t="s">
        <v>8</v>
      </c>
      <c r="P105" s="18" t="s">
        <v>108</v>
      </c>
    </row>
    <row r="106" spans="1:16" x14ac:dyDescent="0.3">
      <c r="A106" s="42" t="s">
        <v>146</v>
      </c>
      <c r="B106" s="22" t="s">
        <v>88</v>
      </c>
      <c r="C106" s="17">
        <v>423.42600554122475</v>
      </c>
      <c r="D106" s="17">
        <v>364.55049202254702</v>
      </c>
      <c r="E106" s="17">
        <v>389.24715773383014</v>
      </c>
      <c r="F106" s="17">
        <v>373.65052068405464</v>
      </c>
      <c r="G106" s="17">
        <v>371.47702302474443</v>
      </c>
      <c r="H106" s="17">
        <v>361.44549536638959</v>
      </c>
      <c r="I106" s="17">
        <v>383.77758670106044</v>
      </c>
      <c r="J106" s="17">
        <v>390.41750262730483</v>
      </c>
      <c r="K106" s="17">
        <v>394.0957294353683</v>
      </c>
      <c r="L106" s="17">
        <v>378.37966943727906</v>
      </c>
      <c r="M106" s="17">
        <v>396.48418840164322</v>
      </c>
      <c r="N106" s="17">
        <v>387.88573612305339</v>
      </c>
      <c r="O106" s="18" t="s">
        <v>8</v>
      </c>
      <c r="P106" s="18" t="s">
        <v>108</v>
      </c>
    </row>
    <row r="107" spans="1:16" x14ac:dyDescent="0.3">
      <c r="A107" s="42" t="s">
        <v>147</v>
      </c>
      <c r="B107" s="22" t="s">
        <v>88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8" t="s">
        <v>8</v>
      </c>
      <c r="P107" s="18" t="s">
        <v>108</v>
      </c>
    </row>
    <row r="108" spans="1:16" x14ac:dyDescent="0.3">
      <c r="A108" s="47" t="s">
        <v>148</v>
      </c>
      <c r="B108" s="22" t="s">
        <v>88</v>
      </c>
      <c r="C108" s="32">
        <v>1026.8462787809306</v>
      </c>
      <c r="D108" s="32">
        <v>935.24887742428575</v>
      </c>
      <c r="E108" s="32">
        <v>970.83691602178271</v>
      </c>
      <c r="F108" s="32">
        <v>933.72284646354422</v>
      </c>
      <c r="G108" s="32">
        <v>888.14349861469384</v>
      </c>
      <c r="H108" s="32">
        <v>857.00787182564886</v>
      </c>
      <c r="I108" s="32">
        <v>930.56749785038687</v>
      </c>
      <c r="J108" s="32">
        <v>942.48590809209895</v>
      </c>
      <c r="K108" s="32">
        <v>941.12195325172297</v>
      </c>
      <c r="L108" s="32">
        <v>951.30035650848095</v>
      </c>
      <c r="M108" s="32">
        <v>944.73105952039737</v>
      </c>
      <c r="N108" s="32">
        <v>965.20015286137379</v>
      </c>
      <c r="O108" s="18" t="s">
        <v>8</v>
      </c>
      <c r="P108" s="18" t="s">
        <v>108</v>
      </c>
    </row>
    <row r="109" spans="1:16" ht="15.6" x14ac:dyDescent="0.3">
      <c r="A109" s="24" t="s">
        <v>102</v>
      </c>
      <c r="B109" s="25" t="s">
        <v>103</v>
      </c>
      <c r="C109" s="87">
        <f t="shared" ref="C109:N109" si="4">IFERROR((C94+C98+C99+C103+C104+C105+C107)/C108,"")</f>
        <v>1.0000115370301452</v>
      </c>
      <c r="D109" s="87">
        <f t="shared" si="4"/>
        <v>0.99999172561738647</v>
      </c>
      <c r="E109" s="87">
        <f t="shared" si="4"/>
        <v>0.99939884425963965</v>
      </c>
      <c r="F109" s="87">
        <f t="shared" si="4"/>
        <v>1</v>
      </c>
      <c r="G109" s="87">
        <f t="shared" si="4"/>
        <v>1</v>
      </c>
      <c r="H109" s="87">
        <f t="shared" si="4"/>
        <v>1</v>
      </c>
      <c r="I109" s="87">
        <f t="shared" si="4"/>
        <v>0.9996380600980066</v>
      </c>
      <c r="J109" s="87">
        <f t="shared" si="4"/>
        <v>0.99977432243900399</v>
      </c>
      <c r="K109" s="87">
        <f t="shared" si="4"/>
        <v>1</v>
      </c>
      <c r="L109" s="87">
        <f t="shared" si="4"/>
        <v>1</v>
      </c>
      <c r="M109" s="87">
        <f t="shared" si="4"/>
        <v>1</v>
      </c>
      <c r="N109" s="87">
        <f t="shared" si="4"/>
        <v>1.0000000000000002</v>
      </c>
      <c r="O109" s="8"/>
      <c r="P109" s="28"/>
    </row>
    <row r="110" spans="1:16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8"/>
    </row>
    <row r="111" spans="1:16" ht="15.6" x14ac:dyDescent="0.3">
      <c r="A111" s="8" t="s">
        <v>149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8"/>
    </row>
    <row r="112" spans="1:16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8"/>
    </row>
    <row r="113" spans="1:16" x14ac:dyDescent="0.3">
      <c r="A113" s="12" t="s">
        <v>150</v>
      </c>
      <c r="B113" s="22" t="s">
        <v>88</v>
      </c>
      <c r="C113" s="216">
        <v>64.598261201872546</v>
      </c>
      <c r="D113" s="216">
        <v>79.667048820101272</v>
      </c>
      <c r="E113" s="216">
        <v>80.8278398777109</v>
      </c>
      <c r="F113" s="216">
        <v>79.817521734976594</v>
      </c>
      <c r="G113" s="216">
        <v>101.07528422661699</v>
      </c>
      <c r="H113" s="216">
        <v>102.91105378809591</v>
      </c>
      <c r="I113" s="216">
        <v>96.971434030763348</v>
      </c>
      <c r="J113" s="216">
        <v>98.983949555746619</v>
      </c>
      <c r="K113" s="216">
        <v>98.76277825546957</v>
      </c>
      <c r="L113" s="216">
        <v>91.514187446259669</v>
      </c>
      <c r="M113" s="216">
        <v>87.799751600267498</v>
      </c>
      <c r="N113" s="216">
        <v>64.3450845514474</v>
      </c>
      <c r="O113" s="18" t="s">
        <v>8</v>
      </c>
      <c r="P113" s="18" t="s">
        <v>108</v>
      </c>
    </row>
    <row r="114" spans="1:16" x14ac:dyDescent="0.3">
      <c r="A114" s="42" t="s">
        <v>126</v>
      </c>
      <c r="B114" s="22" t="s">
        <v>88</v>
      </c>
      <c r="C114" s="216">
        <v>0</v>
      </c>
      <c r="D114" s="216">
        <v>0</v>
      </c>
      <c r="E114" s="216">
        <v>1.0867488296551064</v>
      </c>
      <c r="F114" s="216">
        <v>1.0867488296551064</v>
      </c>
      <c r="G114" s="216">
        <v>1.0867488296551064</v>
      </c>
      <c r="H114" s="216">
        <v>2.1734976593102129</v>
      </c>
      <c r="I114" s="216">
        <v>2.1734976593102129</v>
      </c>
      <c r="J114" s="216">
        <v>2.1734976593102129</v>
      </c>
      <c r="K114" s="216">
        <v>1.0986911244864812</v>
      </c>
      <c r="L114" s="216">
        <v>2.1734976593102129</v>
      </c>
      <c r="M114" s="216">
        <v>2.5795356835769558</v>
      </c>
      <c r="N114" s="216">
        <v>1.0986911244864812</v>
      </c>
      <c r="O114" s="18" t="s">
        <v>8</v>
      </c>
      <c r="P114" s="18" t="s">
        <v>108</v>
      </c>
    </row>
    <row r="115" spans="1:16" x14ac:dyDescent="0.3">
      <c r="A115" s="42" t="s">
        <v>138</v>
      </c>
      <c r="B115" s="22" t="s">
        <v>88</v>
      </c>
      <c r="C115" s="216">
        <v>63.65004299226139</v>
      </c>
      <c r="D115" s="216">
        <v>77.794496990541703</v>
      </c>
      <c r="E115" s="216">
        <v>78.804815133276009</v>
      </c>
      <c r="F115" s="216">
        <v>77.794496990541703</v>
      </c>
      <c r="G115" s="216">
        <v>99.051781790388844</v>
      </c>
      <c r="H115" s="216">
        <v>96.990541702493545</v>
      </c>
      <c r="I115" s="216">
        <v>90.928632846087694</v>
      </c>
      <c r="J115" s="216">
        <v>94.000191076717286</v>
      </c>
      <c r="K115" s="216">
        <v>94.965128499092387</v>
      </c>
      <c r="L115" s="216">
        <v>86.717779688544951</v>
      </c>
      <c r="M115" s="216">
        <v>83.381102512658828</v>
      </c>
      <c r="N115" s="216">
        <v>60.619088564058465</v>
      </c>
      <c r="O115" s="18" t="s">
        <v>8</v>
      </c>
      <c r="P115" s="18" t="s">
        <v>108</v>
      </c>
    </row>
    <row r="116" spans="1:16" x14ac:dyDescent="0.3">
      <c r="A116" s="42" t="s">
        <v>139</v>
      </c>
      <c r="B116" s="22" t="s">
        <v>88</v>
      </c>
      <c r="C116" s="216">
        <v>0.94821820961115888</v>
      </c>
      <c r="D116" s="216">
        <v>1.8725518295595682</v>
      </c>
      <c r="E116" s="216">
        <v>0.93627591477978411</v>
      </c>
      <c r="F116" s="216">
        <v>0.93627591477978411</v>
      </c>
      <c r="G116" s="216">
        <v>0.93675360657303897</v>
      </c>
      <c r="H116" s="216">
        <v>3.7470144262921559</v>
      </c>
      <c r="I116" s="216">
        <v>3.8693035253654342</v>
      </c>
      <c r="J116" s="216">
        <v>2.810260819719117</v>
      </c>
      <c r="K116" s="216">
        <v>2.698958631890704</v>
      </c>
      <c r="L116" s="216">
        <v>2.6229100984045095</v>
      </c>
      <c r="M116" s="216">
        <v>1.8391134040317187</v>
      </c>
      <c r="N116" s="216">
        <v>2.6273048629024549</v>
      </c>
      <c r="O116" s="18" t="s">
        <v>8</v>
      </c>
      <c r="P116" s="18" t="s">
        <v>108</v>
      </c>
    </row>
    <row r="117" spans="1:16" x14ac:dyDescent="0.3">
      <c r="A117" s="12" t="s">
        <v>151</v>
      </c>
      <c r="B117" s="22" t="s">
        <v>88</v>
      </c>
      <c r="C117" s="216">
        <v>8.3654671599240711</v>
      </c>
      <c r="D117" s="216">
        <v>7.187341488811124</v>
      </c>
      <c r="E117" s="216">
        <v>8.1715800244981729</v>
      </c>
      <c r="F117" s="216">
        <v>7.2954617814220768</v>
      </c>
      <c r="G117" s="216">
        <v>5.4385210662080823</v>
      </c>
      <c r="H117" s="216">
        <v>6.0404997420414777</v>
      </c>
      <c r="I117" s="216">
        <v>4.6336103945734211</v>
      </c>
      <c r="J117" s="216">
        <v>4.3675030249146785</v>
      </c>
      <c r="K117" s="216">
        <v>4.2992261392949267</v>
      </c>
      <c r="L117" s="216">
        <v>4.0899791419275591</v>
      </c>
      <c r="M117" s="216">
        <v>3.5826884494124389</v>
      </c>
      <c r="N117" s="216">
        <v>2.9616891181809497</v>
      </c>
      <c r="O117" s="14" t="s">
        <v>8</v>
      </c>
      <c r="P117" s="18" t="s">
        <v>108</v>
      </c>
    </row>
    <row r="118" spans="1:16" x14ac:dyDescent="0.3">
      <c r="A118" s="12" t="s">
        <v>152</v>
      </c>
      <c r="B118" s="22" t="s">
        <v>88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  <c r="H118" s="216">
        <v>0</v>
      </c>
      <c r="I118" s="216">
        <v>3.0811120664946978</v>
      </c>
      <c r="J118" s="216">
        <v>1.0509219451609821</v>
      </c>
      <c r="K118" s="216">
        <v>0.52546097258049107</v>
      </c>
      <c r="L118" s="216">
        <v>0.55173402120951565</v>
      </c>
      <c r="M118" s="216">
        <v>0.14330753797649756</v>
      </c>
      <c r="N118" s="216">
        <v>0.28661507595299512</v>
      </c>
      <c r="O118" s="14" t="s">
        <v>8</v>
      </c>
      <c r="P118" s="18" t="s">
        <v>108</v>
      </c>
    </row>
    <row r="119" spans="1:16" x14ac:dyDescent="0.3">
      <c r="A119" s="42" t="s">
        <v>114</v>
      </c>
      <c r="B119" s="22" t="s">
        <v>88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  <c r="H119" s="216">
        <v>0</v>
      </c>
      <c r="I119" s="216">
        <v>2.6034202732397058</v>
      </c>
      <c r="J119" s="216">
        <v>1.0509219451609821</v>
      </c>
      <c r="K119" s="216">
        <v>0.52546097258049107</v>
      </c>
      <c r="L119" s="216">
        <v>0.55173402120951565</v>
      </c>
      <c r="M119" s="216">
        <v>0.14330753797649756</v>
      </c>
      <c r="N119" s="216">
        <v>0.28661507595299512</v>
      </c>
      <c r="O119" s="14" t="s">
        <v>8</v>
      </c>
      <c r="P119" s="18" t="s">
        <v>108</v>
      </c>
    </row>
    <row r="120" spans="1:16" x14ac:dyDescent="0.3">
      <c r="A120" s="42" t="s">
        <v>115</v>
      </c>
      <c r="B120" s="22" t="s">
        <v>88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14" t="s">
        <v>8</v>
      </c>
      <c r="P120" s="18" t="s">
        <v>108</v>
      </c>
    </row>
    <row r="121" spans="1:16" x14ac:dyDescent="0.3">
      <c r="A121" s="42" t="s">
        <v>142</v>
      </c>
      <c r="B121" s="22" t="s">
        <v>88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  <c r="H121" s="216">
        <v>0</v>
      </c>
      <c r="I121" s="216">
        <v>0.47769179325499184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14" t="s">
        <v>8</v>
      </c>
      <c r="P121" s="18" t="s">
        <v>108</v>
      </c>
    </row>
    <row r="122" spans="1:16" x14ac:dyDescent="0.3">
      <c r="A122" s="12" t="s">
        <v>153</v>
      </c>
      <c r="B122" s="22" t="s">
        <v>88</v>
      </c>
      <c r="C122" s="216">
        <v>15.993121238177128</v>
      </c>
      <c r="D122" s="216">
        <v>15.477214101461737</v>
      </c>
      <c r="E122" s="216">
        <v>18.14273430782459</v>
      </c>
      <c r="F122" s="216">
        <v>17.024935511607911</v>
      </c>
      <c r="G122" s="216">
        <v>16.766981943250215</v>
      </c>
      <c r="H122" s="216">
        <v>16.938950988822011</v>
      </c>
      <c r="I122" s="216">
        <v>17.961211426387695</v>
      </c>
      <c r="J122" s="216">
        <v>20.292347377472055</v>
      </c>
      <c r="K122" s="216">
        <v>13.757523645743765</v>
      </c>
      <c r="L122" s="216">
        <v>11.521926053310404</v>
      </c>
      <c r="M122" s="216">
        <v>11.631795165759051</v>
      </c>
      <c r="N122" s="216">
        <v>13.423139390465272</v>
      </c>
      <c r="O122" s="14" t="s">
        <v>8</v>
      </c>
      <c r="P122" s="18" t="s">
        <v>108</v>
      </c>
    </row>
    <row r="123" spans="1:16" x14ac:dyDescent="0.3">
      <c r="A123" s="12" t="s">
        <v>154</v>
      </c>
      <c r="B123" s="22" t="s">
        <v>88</v>
      </c>
      <c r="C123" s="216">
        <v>1.6719212763924716</v>
      </c>
      <c r="D123" s="216">
        <v>2.1734976593102129</v>
      </c>
      <c r="E123" s="216">
        <v>1.6241520970669723</v>
      </c>
      <c r="F123" s="216">
        <v>1.0509219451609821</v>
      </c>
      <c r="G123" s="216">
        <v>1.1942294831374796</v>
      </c>
      <c r="H123" s="216">
        <v>1.8391134040317187</v>
      </c>
      <c r="I123" s="216">
        <v>1.8629979936944683</v>
      </c>
      <c r="J123" s="216">
        <v>1.7674596350434699</v>
      </c>
      <c r="K123" s="216">
        <v>1.6241520970669723</v>
      </c>
      <c r="L123" s="216">
        <v>1.5524983280787235</v>
      </c>
      <c r="M123" s="216">
        <v>1.4808445590904749</v>
      </c>
      <c r="N123" s="216">
        <v>1.6719212763924716</v>
      </c>
      <c r="O123" s="14" t="s">
        <v>8</v>
      </c>
      <c r="P123" s="18" t="s">
        <v>108</v>
      </c>
    </row>
    <row r="124" spans="1:16" x14ac:dyDescent="0.3">
      <c r="A124" s="12" t="s">
        <v>155</v>
      </c>
      <c r="B124" s="22" t="s">
        <v>88</v>
      </c>
      <c r="C124" s="216">
        <v>4.3469953186204258</v>
      </c>
      <c r="D124" s="216">
        <v>3.8931881150281837</v>
      </c>
      <c r="E124" s="216">
        <v>1.1942294831374796</v>
      </c>
      <c r="F124" s="216">
        <v>4.2753415496321772</v>
      </c>
      <c r="G124" s="216">
        <v>5.9</v>
      </c>
      <c r="H124" s="216">
        <v>4.0603802426674305</v>
      </c>
      <c r="I124" s="216">
        <v>5.2307251361421603</v>
      </c>
      <c r="J124" s="216">
        <v>5.3023789051304098</v>
      </c>
      <c r="K124" s="216">
        <v>5.2068405464794116</v>
      </c>
      <c r="L124" s="216">
        <v>4.08426483233018</v>
      </c>
      <c r="M124" s="216">
        <v>4.8008025222126678</v>
      </c>
      <c r="N124" s="216">
        <v>2.5078819145887072</v>
      </c>
      <c r="O124" s="14" t="s">
        <v>8</v>
      </c>
      <c r="P124" s="18" t="s">
        <v>108</v>
      </c>
    </row>
    <row r="125" spans="1:16" x14ac:dyDescent="0.3">
      <c r="A125" s="47" t="s">
        <v>156</v>
      </c>
      <c r="B125" s="22" t="s">
        <v>88</v>
      </c>
      <c r="C125" s="217">
        <v>94.975766194986633</v>
      </c>
      <c r="D125" s="217">
        <v>108.39829018471254</v>
      </c>
      <c r="E125" s="217">
        <v>109.9605357902381</v>
      </c>
      <c r="F125" s="217">
        <v>109.46418252279973</v>
      </c>
      <c r="G125" s="217">
        <v>130.37501671921277</v>
      </c>
      <c r="H125" s="217">
        <v>131.78999816565855</v>
      </c>
      <c r="I125" s="217">
        <v>129.74109104805578</v>
      </c>
      <c r="J125" s="217">
        <v>131.76456044346821</v>
      </c>
      <c r="K125" s="217">
        <v>124.17598165663513</v>
      </c>
      <c r="L125" s="217">
        <v>113.31458982311605</v>
      </c>
      <c r="M125" s="217">
        <v>109.43918983471862</v>
      </c>
      <c r="N125" s="217">
        <v>85.196331327027792</v>
      </c>
      <c r="O125" s="14" t="s">
        <v>8</v>
      </c>
      <c r="P125" s="18" t="s">
        <v>108</v>
      </c>
    </row>
    <row r="126" spans="1:16" x14ac:dyDescent="0.3">
      <c r="A126" s="24" t="s">
        <v>102</v>
      </c>
      <c r="B126" s="25" t="s">
        <v>103</v>
      </c>
      <c r="C126" s="87">
        <f t="shared" ref="C126:N126" si="5">IFERROR((C113+C117+C118+C122+C123+C124)/C125,"")</f>
        <v>1</v>
      </c>
      <c r="D126" s="87">
        <f t="shared" si="5"/>
        <v>1</v>
      </c>
      <c r="E126" s="87">
        <f t="shared" si="5"/>
        <v>1</v>
      </c>
      <c r="F126" s="87">
        <f t="shared" si="5"/>
        <v>1</v>
      </c>
      <c r="G126" s="87">
        <f t="shared" si="5"/>
        <v>1</v>
      </c>
      <c r="H126" s="87">
        <f t="shared" si="5"/>
        <v>1</v>
      </c>
      <c r="I126" s="87">
        <f t="shared" si="5"/>
        <v>1</v>
      </c>
      <c r="J126" s="87">
        <f t="shared" si="5"/>
        <v>1</v>
      </c>
      <c r="K126" s="87">
        <f t="shared" si="5"/>
        <v>1</v>
      </c>
      <c r="L126" s="87">
        <f t="shared" si="5"/>
        <v>1</v>
      </c>
      <c r="M126" s="87">
        <f t="shared" si="5"/>
        <v>1.0000000000000002</v>
      </c>
      <c r="N126" s="87">
        <f t="shared" si="5"/>
        <v>1</v>
      </c>
      <c r="O126" s="14"/>
      <c r="P126" s="28"/>
    </row>
    <row r="127" spans="1:16" ht="15.6" x14ac:dyDescent="0.3">
      <c r="A127" s="8" t="s">
        <v>157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8"/>
    </row>
    <row r="128" spans="1:16" ht="15.6" x14ac:dyDescent="0.3">
      <c r="A128" s="10"/>
      <c r="B128" s="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8"/>
      <c r="P128" s="28"/>
    </row>
    <row r="129" spans="1:16" x14ac:dyDescent="0.3">
      <c r="A129" s="12" t="s">
        <v>158</v>
      </c>
      <c r="B129" s="22" t="s">
        <v>88</v>
      </c>
      <c r="C129" s="216">
        <v>29.240804432979839</v>
      </c>
      <c r="D129" s="216">
        <v>42.425097926817614</v>
      </c>
      <c r="E129" s="216">
        <v>43.41263017101366</v>
      </c>
      <c r="F129" s="216">
        <v>39.404796025604277</v>
      </c>
      <c r="G129" s="216">
        <v>30.279449699054169</v>
      </c>
      <c r="H129" s="216">
        <v>33.23683959109583</v>
      </c>
      <c r="I129" s="216">
        <v>26.2969332186873</v>
      </c>
      <c r="J129" s="216">
        <v>30.046813795738988</v>
      </c>
      <c r="K129" s="216">
        <v>27.371739753511033</v>
      </c>
      <c r="L129" s="216">
        <v>25.604280118467564</v>
      </c>
      <c r="M129" s="216">
        <v>25.317665042514573</v>
      </c>
      <c r="N129" s="216">
        <v>22.427629693321865</v>
      </c>
      <c r="O129" s="18" t="s">
        <v>8</v>
      </c>
      <c r="P129" s="18" t="s">
        <v>108</v>
      </c>
    </row>
    <row r="130" spans="1:16" x14ac:dyDescent="0.3">
      <c r="A130" s="42" t="s">
        <v>126</v>
      </c>
      <c r="B130" s="22" t="s">
        <v>88</v>
      </c>
      <c r="C130" s="216">
        <v>1.0748065348237317</v>
      </c>
      <c r="D130" s="216">
        <v>1.0748065348237317</v>
      </c>
      <c r="E130" s="216">
        <v>1.0986911244864812</v>
      </c>
      <c r="F130" s="216">
        <v>1.0986911244864812</v>
      </c>
      <c r="G130" s="216">
        <v>1.0986911244864812</v>
      </c>
      <c r="H130" s="216">
        <v>1.0986911244864812</v>
      </c>
      <c r="I130" s="216">
        <v>2.1734976593102129</v>
      </c>
      <c r="J130" s="216">
        <v>3.2721887837966941</v>
      </c>
      <c r="K130" s="216">
        <v>1.0986911244864812</v>
      </c>
      <c r="L130" s="216">
        <v>2.1734976593102129</v>
      </c>
      <c r="M130" s="216">
        <v>2.2451514282984619</v>
      </c>
      <c r="N130" s="216">
        <v>1.6241520970669723</v>
      </c>
      <c r="O130" s="18" t="s">
        <v>8</v>
      </c>
      <c r="P130" s="18" t="s">
        <v>108</v>
      </c>
    </row>
    <row r="131" spans="1:16" x14ac:dyDescent="0.3">
      <c r="A131" s="42" t="s">
        <v>138</v>
      </c>
      <c r="B131" s="22" t="s">
        <v>88</v>
      </c>
      <c r="C131" s="216">
        <v>26.273048629024551</v>
      </c>
      <c r="D131" s="216">
        <v>40.41272570937231</v>
      </c>
      <c r="E131" s="216">
        <v>39.40957294353683</v>
      </c>
      <c r="F131" s="216">
        <v>37.379382822203112</v>
      </c>
      <c r="G131" s="216">
        <v>26.273048629024551</v>
      </c>
      <c r="H131" s="216">
        <v>28.279354160695519</v>
      </c>
      <c r="I131" s="216">
        <v>21.209515620521639</v>
      </c>
      <c r="J131" s="216">
        <v>25.26989586318907</v>
      </c>
      <c r="K131" s="216">
        <v>23.239705741855353</v>
      </c>
      <c r="L131" s="216">
        <v>20.206362854686155</v>
      </c>
      <c r="M131" s="216">
        <v>22.236552976019873</v>
      </c>
      <c r="N131" s="216">
        <v>20.206362854686155</v>
      </c>
      <c r="O131" s="18" t="s">
        <v>8</v>
      </c>
      <c r="P131" s="18" t="s">
        <v>108</v>
      </c>
    </row>
    <row r="132" spans="1:16" x14ac:dyDescent="0.3">
      <c r="A132" s="42" t="s">
        <v>139</v>
      </c>
      <c r="B132" s="22" t="s">
        <v>88</v>
      </c>
      <c r="C132" s="216">
        <v>1.8868825833572178</v>
      </c>
      <c r="D132" s="216">
        <v>0.93149899684723414</v>
      </c>
      <c r="E132" s="216">
        <v>2.9139199388554502</v>
      </c>
      <c r="F132" s="216">
        <v>0.93149899684723414</v>
      </c>
      <c r="G132" s="216">
        <v>2.9139199388554502</v>
      </c>
      <c r="H132" s="216">
        <v>3.8693035253654342</v>
      </c>
      <c r="I132" s="216">
        <v>2.9139199388554502</v>
      </c>
      <c r="J132" s="216">
        <v>1.5047291487532244</v>
      </c>
      <c r="K132" s="216">
        <v>3.0333428871691983</v>
      </c>
      <c r="L132" s="216">
        <v>3.224419604471195</v>
      </c>
      <c r="M132" s="216">
        <v>0.83596063819623578</v>
      </c>
      <c r="N132" s="216">
        <v>0.59711474156873978</v>
      </c>
      <c r="O132" s="18" t="s">
        <v>8</v>
      </c>
      <c r="P132" s="18" t="s">
        <v>108</v>
      </c>
    </row>
    <row r="133" spans="1:16" x14ac:dyDescent="0.3">
      <c r="A133" s="12" t="s">
        <v>159</v>
      </c>
      <c r="B133" s="22" t="s">
        <v>88</v>
      </c>
      <c r="C133" s="216">
        <v>29.736314130123244</v>
      </c>
      <c r="D133" s="216">
        <v>31.002197382248973</v>
      </c>
      <c r="E133" s="216">
        <v>34.871500907614404</v>
      </c>
      <c r="F133" s="216">
        <v>43.32664564822776</v>
      </c>
      <c r="G133" s="216">
        <v>66.829081876373365</v>
      </c>
      <c r="H133" s="216">
        <v>69.981847711856304</v>
      </c>
      <c r="I133" s="216">
        <v>79.320722269991393</v>
      </c>
      <c r="J133" s="216">
        <v>72.991306009362759</v>
      </c>
      <c r="K133" s="216">
        <v>76.215725613833953</v>
      </c>
      <c r="L133" s="216">
        <v>73.397344033629494</v>
      </c>
      <c r="M133" s="216">
        <v>75.236457437661215</v>
      </c>
      <c r="N133" s="216">
        <v>79.583452756281645</v>
      </c>
      <c r="O133" s="14" t="s">
        <v>8</v>
      </c>
      <c r="P133" s="18" t="s">
        <v>108</v>
      </c>
    </row>
    <row r="134" spans="1:16" x14ac:dyDescent="0.3">
      <c r="A134" s="12" t="s">
        <v>160</v>
      </c>
      <c r="B134" s="22" t="s">
        <v>88</v>
      </c>
      <c r="C134" s="216">
        <v>3.8693035253654342</v>
      </c>
      <c r="D134" s="216">
        <v>2.5795356835769558</v>
      </c>
      <c r="E134" s="216">
        <v>2.5795356835769558</v>
      </c>
      <c r="F134" s="216">
        <v>5.2068405464794116</v>
      </c>
      <c r="G134" s="216">
        <v>2.5795356835769558</v>
      </c>
      <c r="H134" s="216">
        <v>0</v>
      </c>
      <c r="I134" s="216">
        <v>0</v>
      </c>
      <c r="J134" s="216">
        <v>0</v>
      </c>
      <c r="K134" s="216">
        <v>2.1018438903219643</v>
      </c>
      <c r="L134" s="216">
        <v>1.9107671730199673</v>
      </c>
      <c r="M134" s="216">
        <v>2.0540747109964648</v>
      </c>
      <c r="N134" s="216">
        <v>2.0063055316709657</v>
      </c>
      <c r="O134" s="14" t="s">
        <v>8</v>
      </c>
      <c r="P134" s="18" t="s">
        <v>108</v>
      </c>
    </row>
    <row r="135" spans="1:16" x14ac:dyDescent="0.3">
      <c r="A135" s="42" t="s">
        <v>114</v>
      </c>
      <c r="B135" s="22" t="s">
        <v>88</v>
      </c>
      <c r="C135" s="216">
        <v>1.9346517626827171</v>
      </c>
      <c r="D135" s="216">
        <v>1.2897678417884779</v>
      </c>
      <c r="E135" s="216">
        <v>1.2897678417884779</v>
      </c>
      <c r="F135" s="216">
        <v>2.6034202732397058</v>
      </c>
      <c r="G135" s="216">
        <v>1.2897678417884779</v>
      </c>
      <c r="H135" s="216">
        <v>0</v>
      </c>
      <c r="I135" s="216">
        <v>0</v>
      </c>
      <c r="J135" s="216">
        <v>0</v>
      </c>
      <c r="K135" s="216">
        <v>1.0509219451609821</v>
      </c>
      <c r="L135" s="216">
        <v>0.95538358650998367</v>
      </c>
      <c r="M135" s="216">
        <v>1.0270373554982324</v>
      </c>
      <c r="N135" s="216">
        <v>1.0031527658354829</v>
      </c>
      <c r="O135" s="14" t="s">
        <v>8</v>
      </c>
      <c r="P135" s="18" t="s">
        <v>108</v>
      </c>
    </row>
    <row r="136" spans="1:16" x14ac:dyDescent="0.3">
      <c r="A136" s="42" t="s">
        <v>115</v>
      </c>
      <c r="B136" s="22" t="s">
        <v>88</v>
      </c>
      <c r="C136" s="216">
        <v>0</v>
      </c>
      <c r="D136" s="216">
        <v>0</v>
      </c>
      <c r="E136" s="216"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  <c r="O136" s="14" t="s">
        <v>8</v>
      </c>
      <c r="P136" s="18" t="s">
        <v>108</v>
      </c>
    </row>
    <row r="137" spans="1:16" x14ac:dyDescent="0.3">
      <c r="A137" s="42" t="s">
        <v>142</v>
      </c>
      <c r="B137" s="22" t="s">
        <v>88</v>
      </c>
      <c r="C137" s="216">
        <v>1.9346517626827171</v>
      </c>
      <c r="D137" s="216">
        <v>1.2897678417884779</v>
      </c>
      <c r="E137" s="216">
        <v>1.2897678417884779</v>
      </c>
      <c r="F137" s="216">
        <v>2.6034202732397058</v>
      </c>
      <c r="G137" s="216">
        <v>1.2897678417884779</v>
      </c>
      <c r="H137" s="216">
        <v>0</v>
      </c>
      <c r="I137" s="216">
        <v>0</v>
      </c>
      <c r="J137" s="216">
        <v>0</v>
      </c>
      <c r="K137" s="216">
        <v>1.0509219451609821</v>
      </c>
      <c r="L137" s="216">
        <v>0.95538358650998367</v>
      </c>
      <c r="M137" s="216">
        <v>1.0270373554982324</v>
      </c>
      <c r="N137" s="216">
        <v>1.0031527658354829</v>
      </c>
      <c r="O137" s="14" t="s">
        <v>8</v>
      </c>
      <c r="P137" s="18" t="s">
        <v>108</v>
      </c>
    </row>
    <row r="138" spans="1:16" x14ac:dyDescent="0.3">
      <c r="A138" s="12" t="s">
        <v>161</v>
      </c>
      <c r="B138" s="22" t="s">
        <v>88</v>
      </c>
      <c r="C138" s="216">
        <v>215.90713671539123</v>
      </c>
      <c r="D138" s="216">
        <v>204.47119518486673</v>
      </c>
      <c r="E138" s="216">
        <v>218.0567497850387</v>
      </c>
      <c r="F138" s="216">
        <v>217.54084264832329</v>
      </c>
      <c r="G138" s="216">
        <v>240.32674118658639</v>
      </c>
      <c r="H138" s="216">
        <v>241.8744625967326</v>
      </c>
      <c r="I138" s="216">
        <v>255.46957103276964</v>
      </c>
      <c r="J138" s="216">
        <v>233.49574854304001</v>
      </c>
      <c r="K138" s="216">
        <v>252</v>
      </c>
      <c r="L138" s="216">
        <v>251.17034489347472</v>
      </c>
      <c r="M138" s="216">
        <v>244.72150568453233</v>
      </c>
      <c r="N138" s="216">
        <v>279.9751600267507</v>
      </c>
      <c r="O138" s="14" t="s">
        <v>8</v>
      </c>
      <c r="P138" s="18" t="s">
        <v>108</v>
      </c>
    </row>
    <row r="139" spans="1:16" x14ac:dyDescent="0.3">
      <c r="A139" s="12" t="s">
        <v>162</v>
      </c>
      <c r="B139" s="22" t="s">
        <v>88</v>
      </c>
      <c r="C139" s="216">
        <v>128.71405369255754</v>
      </c>
      <c r="D139" s="216">
        <v>102.91869685678799</v>
      </c>
      <c r="E139" s="216">
        <v>113.23683959109582</v>
      </c>
      <c r="F139" s="216">
        <v>101.98719785994076</v>
      </c>
      <c r="G139" s="216">
        <v>107.57619184102417</v>
      </c>
      <c r="H139" s="216">
        <v>108.00611445495366</v>
      </c>
      <c r="I139" s="216">
        <v>120.85602369351294</v>
      </c>
      <c r="J139" s="216">
        <v>118.94525652049298</v>
      </c>
      <c r="K139" s="216">
        <v>121.81140728002292</v>
      </c>
      <c r="L139" s="216">
        <v>102.70373554982325</v>
      </c>
      <c r="M139" s="216">
        <v>109.86911244864812</v>
      </c>
      <c r="N139" s="216">
        <v>116.46125919556701</v>
      </c>
      <c r="O139" s="14" t="s">
        <v>8</v>
      </c>
      <c r="P139" s="18" t="s">
        <v>108</v>
      </c>
    </row>
    <row r="140" spans="1:16" x14ac:dyDescent="0.3">
      <c r="A140" s="12" t="s">
        <v>163</v>
      </c>
      <c r="B140" s="22" t="s">
        <v>88</v>
      </c>
      <c r="C140" s="216">
        <v>18.319480271328938</v>
      </c>
      <c r="D140" s="216">
        <v>19.680901882105665</v>
      </c>
      <c r="E140" s="216">
        <v>11.918410241712047</v>
      </c>
      <c r="F140" s="216">
        <v>12.32444826597879</v>
      </c>
      <c r="G140" s="216">
        <v>10.604757810260818</v>
      </c>
      <c r="H140" s="216">
        <v>11.560141396770803</v>
      </c>
      <c r="I140" s="216">
        <v>15.071176077194991</v>
      </c>
      <c r="J140" s="216">
        <v>13.232062673163274</v>
      </c>
      <c r="K140" s="216">
        <v>11.67956434508455</v>
      </c>
      <c r="L140" s="216">
        <v>13.494793159453518</v>
      </c>
      <c r="M140" s="216">
        <v>15.357791153147989</v>
      </c>
      <c r="N140" s="216">
        <v>8.5984522785898534</v>
      </c>
      <c r="O140" s="14" t="s">
        <v>8</v>
      </c>
      <c r="P140" s="18" t="s">
        <v>108</v>
      </c>
    </row>
    <row r="141" spans="1:16" x14ac:dyDescent="0.3">
      <c r="A141" s="47" t="s">
        <v>164</v>
      </c>
      <c r="B141" s="22" t="s">
        <v>88</v>
      </c>
      <c r="C141" s="218">
        <v>424.93362810999048</v>
      </c>
      <c r="D141" s="218">
        <v>402.16872074137763</v>
      </c>
      <c r="E141" s="218">
        <v>423.16870168466892</v>
      </c>
      <c r="F141" s="218">
        <v>418.07868598839002</v>
      </c>
      <c r="G141" s="218">
        <v>457.64158784752078</v>
      </c>
      <c r="H141" s="218">
        <v>465.48750048787298</v>
      </c>
      <c r="I141" s="218">
        <v>498.23254036495649</v>
      </c>
      <c r="J141" s="218">
        <v>468.6634183624725</v>
      </c>
      <c r="K141" s="218">
        <v>490.2789720072609</v>
      </c>
      <c r="L141" s="218">
        <v>467.30199675169581</v>
      </c>
      <c r="M141" s="218">
        <v>471.50568453233973</v>
      </c>
      <c r="N141" s="218">
        <v>508.04910671634661</v>
      </c>
      <c r="O141" s="27"/>
      <c r="P141" s="18" t="s">
        <v>108</v>
      </c>
    </row>
    <row r="142" spans="1:16" x14ac:dyDescent="0.3">
      <c r="A142" s="24" t="s">
        <v>102</v>
      </c>
      <c r="B142" s="25" t="s">
        <v>103</v>
      </c>
      <c r="C142" s="87">
        <f t="shared" ref="C142:N142" si="6">IFERROR((C129+C133+C134+C138+C139+C140)/C141,"")</f>
        <v>1.002008465796298</v>
      </c>
      <c r="D142" s="87">
        <f t="shared" si="6"/>
        <v>1.0022600071267371</v>
      </c>
      <c r="E142" s="87">
        <f t="shared" si="6"/>
        <v>1.0021432697923356</v>
      </c>
      <c r="F142" s="87">
        <f t="shared" si="6"/>
        <v>1.0040951262610212</v>
      </c>
      <c r="G142" s="87">
        <f t="shared" si="6"/>
        <v>1.0012109263320268</v>
      </c>
      <c r="H142" s="87">
        <f t="shared" si="6"/>
        <v>0.99822101616993819</v>
      </c>
      <c r="I142" s="87">
        <f t="shared" si="6"/>
        <v>0.99755512943432401</v>
      </c>
      <c r="J142" s="87">
        <f t="shared" si="6"/>
        <v>1.0001019264091326</v>
      </c>
      <c r="K142" s="87">
        <f t="shared" si="6"/>
        <v>1.0018383592341793</v>
      </c>
      <c r="L142" s="87">
        <f t="shared" si="6"/>
        <v>1.002095578839765</v>
      </c>
      <c r="M142" s="87">
        <f t="shared" si="6"/>
        <v>1.002228863786029</v>
      </c>
      <c r="N142" s="87">
        <f t="shared" si="6"/>
        <v>1.0019745192985754</v>
      </c>
      <c r="O142" s="27"/>
      <c r="P142" s="28"/>
    </row>
    <row r="143" spans="1:16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</row>
    <row r="144" spans="1:16" ht="15.6" x14ac:dyDescent="0.3">
      <c r="A144" s="8" t="s">
        <v>165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</row>
    <row r="145" spans="1:16" ht="15.6" x14ac:dyDescent="0.3">
      <c r="A145" s="8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</row>
    <row r="146" spans="1:16" x14ac:dyDescent="0.3">
      <c r="A146" s="12" t="s">
        <v>166</v>
      </c>
      <c r="B146" s="22" t="s">
        <v>88</v>
      </c>
      <c r="C146" s="216">
        <v>102.1847234164517</v>
      </c>
      <c r="D146" s="216">
        <v>131.44812267125252</v>
      </c>
      <c r="E146" s="216">
        <v>132.55230725136141</v>
      </c>
      <c r="F146" s="216">
        <v>126.52383682048341</v>
      </c>
      <c r="G146" s="216">
        <v>139.74300181522881</v>
      </c>
      <c r="H146" s="216">
        <v>145.6229100984045</v>
      </c>
      <c r="I146" s="216">
        <v>133.9065634852393</v>
      </c>
      <c r="J146" s="216">
        <v>138.65864144453997</v>
      </c>
      <c r="K146" s="216">
        <v>134.67564727237985</v>
      </c>
      <c r="L146" s="216">
        <v>126.42032100888507</v>
      </c>
      <c r="M146" s="216">
        <v>119.49460208273622</v>
      </c>
      <c r="N146" s="216">
        <v>91.477978408330927</v>
      </c>
      <c r="O146" s="14" t="s">
        <v>8</v>
      </c>
      <c r="P146" s="18" t="s">
        <v>108</v>
      </c>
    </row>
    <row r="147" spans="1:16" x14ac:dyDescent="0.3">
      <c r="A147" s="42" t="s">
        <v>126</v>
      </c>
      <c r="B147" s="22" t="s">
        <v>88</v>
      </c>
      <c r="C147" s="216">
        <v>5.3804815133276005</v>
      </c>
      <c r="D147" s="216">
        <v>5.3804815133276005</v>
      </c>
      <c r="E147" s="216">
        <v>5.4337441482755322</v>
      </c>
      <c r="F147" s="216">
        <v>5.4337441482755322</v>
      </c>
      <c r="G147" s="216">
        <v>6.5204929779306386</v>
      </c>
      <c r="H147" s="216">
        <v>8.6939906372408515</v>
      </c>
      <c r="I147" s="216">
        <v>11.95423712620617</v>
      </c>
      <c r="J147" s="216">
        <v>13.052928250692652</v>
      </c>
      <c r="K147" s="216">
        <v>8.7178752269036011</v>
      </c>
      <c r="L147" s="216">
        <v>11.628212477309638</v>
      </c>
      <c r="M147" s="216">
        <v>9.171682430495844</v>
      </c>
      <c r="N147" s="216">
        <v>6.4249546192796405</v>
      </c>
      <c r="O147" s="14" t="s">
        <v>8</v>
      </c>
      <c r="P147" s="18" t="s">
        <v>108</v>
      </c>
    </row>
    <row r="148" spans="1:16" x14ac:dyDescent="0.3">
      <c r="A148" s="42" t="s">
        <v>138</v>
      </c>
      <c r="B148" s="22" t="s">
        <v>88</v>
      </c>
      <c r="C148" s="216">
        <v>93.959587274290612</v>
      </c>
      <c r="D148" s="216">
        <v>123.25881341358556</v>
      </c>
      <c r="E148" s="216">
        <v>124.30973535874654</v>
      </c>
      <c r="F148" s="216">
        <v>119.2175408426483</v>
      </c>
      <c r="G148" s="216">
        <v>130.41224801757906</v>
      </c>
      <c r="H148" s="216">
        <v>130.37164421515237</v>
      </c>
      <c r="I148" s="216">
        <v>115.16910289481226</v>
      </c>
      <c r="J148" s="216">
        <v>121.29072322537496</v>
      </c>
      <c r="K148" s="216">
        <v>120.22547052641636</v>
      </c>
      <c r="L148" s="216">
        <v>108.94477882869973</v>
      </c>
      <c r="M148" s="216">
        <v>107.64784561001242</v>
      </c>
      <c r="N148" s="216">
        <v>81.828604184580101</v>
      </c>
      <c r="O148" s="14" t="s">
        <v>8</v>
      </c>
      <c r="P148" s="18" t="s">
        <v>108</v>
      </c>
    </row>
    <row r="149" spans="1:16" x14ac:dyDescent="0.3">
      <c r="A149" s="42" t="s">
        <v>139</v>
      </c>
      <c r="B149" s="22" t="s">
        <v>88</v>
      </c>
      <c r="C149" s="216">
        <v>2.8446546288334766</v>
      </c>
      <c r="D149" s="216">
        <v>2.8088277443393523</v>
      </c>
      <c r="E149" s="216">
        <v>2.8088277443393523</v>
      </c>
      <c r="F149" s="216">
        <v>1.8725518295595682</v>
      </c>
      <c r="G149" s="216">
        <v>2.810260819719117</v>
      </c>
      <c r="H149" s="216">
        <v>6.5572752460112724</v>
      </c>
      <c r="I149" s="216">
        <v>6.7832234642208844</v>
      </c>
      <c r="J149" s="216">
        <v>4.3149899684723412</v>
      </c>
      <c r="K149" s="216">
        <v>5.7323015190599023</v>
      </c>
      <c r="L149" s="216">
        <v>5.8473297028757045</v>
      </c>
      <c r="M149" s="216">
        <v>2.6750740422279544</v>
      </c>
      <c r="N149" s="216">
        <v>3.2244196044711946</v>
      </c>
      <c r="O149" s="14" t="s">
        <v>8</v>
      </c>
      <c r="P149" s="18" t="s">
        <v>108</v>
      </c>
    </row>
    <row r="150" spans="1:16" x14ac:dyDescent="0.3">
      <c r="A150" s="12" t="s">
        <v>167</v>
      </c>
      <c r="B150" s="22" t="s">
        <v>88</v>
      </c>
      <c r="C150" s="216">
        <v>93.700021991993452</v>
      </c>
      <c r="D150" s="216">
        <v>89.875790901250213</v>
      </c>
      <c r="E150" s="216">
        <v>97.463115917191757</v>
      </c>
      <c r="F150" s="216">
        <v>103.28042788196636</v>
      </c>
      <c r="G150" s="216">
        <v>124.48409286328457</v>
      </c>
      <c r="H150" s="216">
        <v>124.90611495165898</v>
      </c>
      <c r="I150" s="216">
        <v>141.47435892515603</v>
      </c>
      <c r="J150" s="216">
        <v>132.53208608221621</v>
      </c>
      <c r="K150" s="216">
        <v>135.57595153203249</v>
      </c>
      <c r="L150" s="216">
        <v>135.32608610421579</v>
      </c>
      <c r="M150" s="216">
        <v>135.04346995318622</v>
      </c>
      <c r="N150" s="216">
        <v>142.85373077290532</v>
      </c>
      <c r="O150" s="14" t="s">
        <v>8</v>
      </c>
      <c r="P150" s="18" t="s">
        <v>108</v>
      </c>
    </row>
    <row r="151" spans="1:16" x14ac:dyDescent="0.3">
      <c r="A151" s="12" t="s">
        <v>168</v>
      </c>
      <c r="B151" s="22" t="s">
        <v>88</v>
      </c>
      <c r="C151" s="216">
        <v>10.957294353683004</v>
      </c>
      <c r="D151" s="216">
        <v>12.36935129454476</v>
      </c>
      <c r="E151" s="216">
        <v>11.859510843603706</v>
      </c>
      <c r="F151" s="216">
        <v>13.161077672685582</v>
      </c>
      <c r="G151" s="216">
        <v>10.1937040221649</v>
      </c>
      <c r="H151" s="216">
        <v>5.8622336868252605</v>
      </c>
      <c r="I151" s="216">
        <v>53.220741377663131</v>
      </c>
      <c r="J151" s="216">
        <v>14.152765835482947</v>
      </c>
      <c r="K151" s="216">
        <v>13.627304862902456</v>
      </c>
      <c r="L151" s="216">
        <v>14.55803955288048</v>
      </c>
      <c r="M151" s="216">
        <v>13.125728479984712</v>
      </c>
      <c r="N151" s="216">
        <v>12.886882583357217</v>
      </c>
      <c r="O151" s="14" t="s">
        <v>8</v>
      </c>
      <c r="P151" s="18" t="s">
        <v>108</v>
      </c>
    </row>
    <row r="152" spans="1:16" x14ac:dyDescent="0.3">
      <c r="A152" s="42" t="s">
        <v>114</v>
      </c>
      <c r="B152" s="22" t="s">
        <v>88</v>
      </c>
      <c r="C152" s="216">
        <v>7.1357600076430678</v>
      </c>
      <c r="D152" s="216">
        <v>7.7835100792968372</v>
      </c>
      <c r="E152" s="216">
        <v>7.1399159262443863</v>
      </c>
      <c r="F152" s="216">
        <v>8.4414827553262626</v>
      </c>
      <c r="G152" s="216">
        <v>5.8371548676793727</v>
      </c>
      <c r="H152" s="216">
        <v>2.5948218209611156</v>
      </c>
      <c r="I152" s="216">
        <v>4.5488201012706604</v>
      </c>
      <c r="J152" s="216">
        <v>3.1527658354829464</v>
      </c>
      <c r="K152" s="216">
        <v>2.6273048629024554</v>
      </c>
      <c r="L152" s="216">
        <v>2.5580395528804813</v>
      </c>
      <c r="M152" s="216">
        <v>2.1257284799847138</v>
      </c>
      <c r="N152" s="216">
        <v>2.2451514282984615</v>
      </c>
      <c r="O152" s="14" t="s">
        <v>8</v>
      </c>
      <c r="P152" s="18" t="s">
        <v>108</v>
      </c>
    </row>
    <row r="153" spans="1:16" x14ac:dyDescent="0.3">
      <c r="A153" s="42" t="s">
        <v>115</v>
      </c>
      <c r="B153" s="22" t="s">
        <v>88</v>
      </c>
      <c r="C153" s="216">
        <v>0</v>
      </c>
      <c r="D153" s="216">
        <v>0</v>
      </c>
      <c r="E153" s="216">
        <v>0</v>
      </c>
      <c r="F153" s="216">
        <v>0</v>
      </c>
      <c r="G153" s="216">
        <v>0</v>
      </c>
      <c r="H153" s="216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216">
        <v>0</v>
      </c>
      <c r="O153" s="14" t="s">
        <v>8</v>
      </c>
      <c r="P153" s="18" t="s">
        <v>108</v>
      </c>
    </row>
    <row r="154" spans="1:16" x14ac:dyDescent="0.3">
      <c r="A154" s="42" t="s">
        <v>142</v>
      </c>
      <c r="B154" s="22" t="s">
        <v>88</v>
      </c>
      <c r="C154" s="216">
        <v>3.8215343460399347</v>
      </c>
      <c r="D154" s="216">
        <v>4.585841215247922</v>
      </c>
      <c r="E154" s="216">
        <v>4.719594917359319</v>
      </c>
      <c r="F154" s="216">
        <v>4.719594917359319</v>
      </c>
      <c r="G154" s="216">
        <v>4.3565491544855259</v>
      </c>
      <c r="H154" s="216">
        <v>3.2674118658641444</v>
      </c>
      <c r="I154" s="216">
        <v>48.671921276392467</v>
      </c>
      <c r="J154" s="216">
        <v>11</v>
      </c>
      <c r="K154" s="216">
        <v>11</v>
      </c>
      <c r="L154" s="216">
        <v>12</v>
      </c>
      <c r="M154" s="216">
        <v>11</v>
      </c>
      <c r="N154" s="216">
        <v>11</v>
      </c>
      <c r="O154" s="14" t="s">
        <v>8</v>
      </c>
      <c r="P154" s="18" t="s">
        <v>108</v>
      </c>
    </row>
    <row r="155" spans="1:16" x14ac:dyDescent="0.3">
      <c r="A155" s="12" t="s">
        <v>169</v>
      </c>
      <c r="B155" s="22" t="s">
        <v>88</v>
      </c>
      <c r="C155" s="216">
        <v>405.8469475494411</v>
      </c>
      <c r="D155" s="216">
        <v>386.24247635425627</v>
      </c>
      <c r="E155" s="216">
        <v>404.38521066208079</v>
      </c>
      <c r="F155" s="216">
        <v>394.92691315563195</v>
      </c>
      <c r="G155" s="216">
        <v>406.62080825451415</v>
      </c>
      <c r="H155" s="216">
        <v>407.39466895958731</v>
      </c>
      <c r="I155" s="216">
        <v>437.91917454858128</v>
      </c>
      <c r="J155" s="216">
        <v>420.59807012515523</v>
      </c>
      <c r="K155" s="216">
        <v>893.88611827648799</v>
      </c>
      <c r="L155" s="216">
        <v>440.68023311359514</v>
      </c>
      <c r="M155" s="216">
        <v>428.15515429444918</v>
      </c>
      <c r="N155" s="216">
        <v>485.04824687111875</v>
      </c>
      <c r="O155" s="14" t="s">
        <v>8</v>
      </c>
      <c r="P155" s="18" t="s">
        <v>108</v>
      </c>
    </row>
    <row r="156" spans="1:16" x14ac:dyDescent="0.3">
      <c r="A156" s="12" t="s">
        <v>170</v>
      </c>
      <c r="B156" s="22" t="s">
        <v>88</v>
      </c>
      <c r="C156" s="216">
        <v>487.98605139963695</v>
      </c>
      <c r="D156" s="216">
        <v>437.75675933887453</v>
      </c>
      <c r="E156" s="216">
        <v>454.76258717875226</v>
      </c>
      <c r="F156" s="216">
        <v>433.12314894430114</v>
      </c>
      <c r="G156" s="216">
        <v>407.13671539122959</v>
      </c>
      <c r="H156" s="216">
        <v>393.33142256616026</v>
      </c>
      <c r="I156" s="216">
        <v>434.58010891372885</v>
      </c>
      <c r="J156" s="216">
        <v>438.85545046336102</v>
      </c>
      <c r="K156" s="216">
        <v>445.8775198242094</v>
      </c>
      <c r="L156" s="216">
        <v>430.99742046431641</v>
      </c>
      <c r="M156" s="216">
        <v>424.23808158975828</v>
      </c>
      <c r="N156" s="216">
        <v>438.18668195280401</v>
      </c>
      <c r="O156" s="14" t="s">
        <v>8</v>
      </c>
      <c r="P156" s="18" t="s">
        <v>108</v>
      </c>
    </row>
    <row r="157" spans="1:16" x14ac:dyDescent="0.3">
      <c r="A157" s="12" t="s">
        <v>171</v>
      </c>
      <c r="B157" s="22" t="s">
        <v>88</v>
      </c>
      <c r="C157" s="216">
        <v>446.09248113117411</v>
      </c>
      <c r="D157" s="216">
        <v>388.12458201968087</v>
      </c>
      <c r="E157" s="216">
        <v>402.35979745867968</v>
      </c>
      <c r="F157" s="216">
        <v>390.2503104996656</v>
      </c>
      <c r="G157" s="216">
        <v>387.98178083500522</v>
      </c>
      <c r="H157" s="216">
        <v>377.0660170058278</v>
      </c>
      <c r="I157" s="216">
        <v>404.07948791439759</v>
      </c>
      <c r="J157" s="216">
        <v>408.95194420559852</v>
      </c>
      <c r="K157" s="216">
        <v>410.98213432693228</v>
      </c>
      <c r="L157" s="216">
        <v>395.95872742906278</v>
      </c>
      <c r="M157" s="216">
        <v>416.64278207700386</v>
      </c>
      <c r="N157" s="216">
        <v>398.99207031623195</v>
      </c>
      <c r="O157" s="14" t="s">
        <v>8</v>
      </c>
      <c r="P157" s="18" t="s">
        <v>108</v>
      </c>
    </row>
    <row r="158" spans="1:16" x14ac:dyDescent="0.3">
      <c r="A158" s="47" t="s">
        <v>172</v>
      </c>
      <c r="B158" s="22" t="s">
        <v>88</v>
      </c>
      <c r="C158" s="218">
        <v>1546.7556730859078</v>
      </c>
      <c r="D158" s="218">
        <v>1445.8158883503759</v>
      </c>
      <c r="E158" s="218">
        <v>1503.9661534966897</v>
      </c>
      <c r="F158" s="218">
        <v>1461.265714974734</v>
      </c>
      <c r="G158" s="218">
        <v>1476.1601031814275</v>
      </c>
      <c r="H158" s="218">
        <v>1454.2853704791805</v>
      </c>
      <c r="I158" s="218">
        <v>1605.5172446737365</v>
      </c>
      <c r="J158" s="218">
        <v>1553.9616560773652</v>
      </c>
      <c r="K158" s="218">
        <v>2034.6246760949446</v>
      </c>
      <c r="L158" s="218">
        <v>1543.9408276729555</v>
      </c>
      <c r="M158" s="218">
        <v>1536.6998184771185</v>
      </c>
      <c r="N158" s="218">
        <v>1569.4455909047483</v>
      </c>
      <c r="O158" s="14" t="s">
        <v>8</v>
      </c>
      <c r="P158" s="18" t="s">
        <v>108</v>
      </c>
    </row>
    <row r="159" spans="1:16" x14ac:dyDescent="0.3">
      <c r="A159" s="24" t="s">
        <v>102</v>
      </c>
      <c r="B159" s="25" t="s">
        <v>103</v>
      </c>
      <c r="C159" s="87">
        <v>1.0000128224052087</v>
      </c>
      <c r="D159" s="87">
        <v>1.0000128224052087</v>
      </c>
      <c r="E159" s="87">
        <v>1.0000128224052087</v>
      </c>
      <c r="F159" s="87">
        <v>1.0000128224052087</v>
      </c>
      <c r="G159" s="87">
        <v>1.0000128224052087</v>
      </c>
      <c r="H159" s="87">
        <v>1.0000128224052087</v>
      </c>
      <c r="I159" s="87">
        <v>1.0000128224052087</v>
      </c>
      <c r="J159" s="87">
        <v>1.0000128224052087</v>
      </c>
      <c r="K159" s="87">
        <v>1.0000128224052087</v>
      </c>
      <c r="L159" s="87">
        <v>1.0000128224052087</v>
      </c>
      <c r="M159" s="87">
        <v>1.0000128224052087</v>
      </c>
      <c r="N159" s="87">
        <v>1.0000128224052087</v>
      </c>
      <c r="O159" s="14"/>
      <c r="P159" s="28"/>
    </row>
    <row r="160" spans="1:16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</row>
    <row r="161" spans="1:16" x14ac:dyDescent="0.3">
      <c r="A161" s="23" t="s">
        <v>173</v>
      </c>
      <c r="B161" s="22" t="s">
        <v>88</v>
      </c>
      <c r="C161" s="17">
        <v>33.620710000000003</v>
      </c>
      <c r="D161" s="17">
        <v>45.35783</v>
      </c>
      <c r="E161" s="17">
        <v>59.698050000000002</v>
      </c>
      <c r="F161" s="17">
        <v>47.615430000000003</v>
      </c>
      <c r="G161" s="17">
        <v>47.63982</v>
      </c>
      <c r="H161" s="17">
        <v>49.951149999999998</v>
      </c>
      <c r="I161" s="17">
        <v>45.808930000000004</v>
      </c>
      <c r="J161" s="17">
        <v>59.624780000000001</v>
      </c>
      <c r="K161" s="17">
        <v>69.374900000000011</v>
      </c>
      <c r="L161" s="17">
        <v>68.503391611732098</v>
      </c>
      <c r="M161" s="17">
        <v>25.198242094200822</v>
      </c>
      <c r="N161" s="17">
        <v>43.040030572274766</v>
      </c>
      <c r="O161" s="14" t="s">
        <v>8</v>
      </c>
      <c r="P161" s="18" t="s">
        <v>108</v>
      </c>
    </row>
    <row r="162" spans="1:16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28"/>
    </row>
    <row r="163" spans="1:16" ht="18" x14ac:dyDescent="0.3">
      <c r="A163" s="2" t="s">
        <v>174</v>
      </c>
      <c r="B163" s="2"/>
      <c r="C163" s="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8"/>
      <c r="P163" s="28"/>
    </row>
    <row r="164" spans="1:16" x14ac:dyDescent="0.3">
      <c r="A164" s="1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28"/>
    </row>
    <row r="165" spans="1:16" ht="15.6" x14ac:dyDescent="0.3">
      <c r="A165" s="8" t="s">
        <v>175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28"/>
    </row>
    <row r="166" spans="1:16" x14ac:dyDescent="0.3">
      <c r="A166" s="1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28"/>
    </row>
    <row r="167" spans="1:16" x14ac:dyDescent="0.3">
      <c r="A167" s="12" t="s">
        <v>176</v>
      </c>
      <c r="B167" s="22" t="s">
        <v>177</v>
      </c>
      <c r="C167" s="17">
        <v>4887.2299999999996</v>
      </c>
      <c r="D167" s="17">
        <v>4084</v>
      </c>
      <c r="E167" s="17">
        <v>4579.62</v>
      </c>
      <c r="F167" s="17">
        <v>4154.32</v>
      </c>
      <c r="G167" s="17">
        <v>4143.17</v>
      </c>
      <c r="H167" s="17">
        <v>3795.56</v>
      </c>
      <c r="I167" s="17">
        <v>4208.45</v>
      </c>
      <c r="J167" s="17">
        <v>4209.57</v>
      </c>
      <c r="K167" s="17">
        <v>4064.64</v>
      </c>
      <c r="L167" s="17">
        <v>3883.05</v>
      </c>
      <c r="M167" s="17">
        <v>3650</v>
      </c>
      <c r="N167" s="17">
        <v>4265</v>
      </c>
      <c r="O167" s="14" t="s">
        <v>12</v>
      </c>
      <c r="P167" s="356" t="s">
        <v>178</v>
      </c>
    </row>
    <row r="168" spans="1:16" x14ac:dyDescent="0.3">
      <c r="A168" s="12" t="s">
        <v>179</v>
      </c>
      <c r="B168" s="22" t="s">
        <v>177</v>
      </c>
      <c r="C168" s="17">
        <v>4444.5600000000004</v>
      </c>
      <c r="D168" s="17">
        <v>4444.5600000000004</v>
      </c>
      <c r="E168" s="17">
        <v>4444.5600000000004</v>
      </c>
      <c r="F168" s="17">
        <v>4444.5600000000004</v>
      </c>
      <c r="G168" s="17">
        <v>4444.5600000000004</v>
      </c>
      <c r="H168" s="17">
        <v>4444.5600000000004</v>
      </c>
      <c r="I168" s="17">
        <v>4444.5600000000004</v>
      </c>
      <c r="J168" s="17">
        <v>4444.5600000000004</v>
      </c>
      <c r="K168" s="17">
        <v>4444.5600000000004</v>
      </c>
      <c r="L168" s="17">
        <v>4444.5600000000004</v>
      </c>
      <c r="M168" s="17">
        <v>4444.5600000000004</v>
      </c>
      <c r="N168" s="17">
        <v>4444.5600000000004</v>
      </c>
      <c r="O168" s="14" t="s">
        <v>12</v>
      </c>
      <c r="P168" s="356" t="s">
        <v>178</v>
      </c>
    </row>
    <row r="169" spans="1:16" x14ac:dyDescent="0.3">
      <c r="A169" s="10"/>
      <c r="B169" s="22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 t="s">
        <v>180</v>
      </c>
      <c r="P169" s="28"/>
    </row>
    <row r="170" spans="1:16" ht="15.6" x14ac:dyDescent="0.3">
      <c r="A170" s="8" t="s">
        <v>181</v>
      </c>
      <c r="B170" s="22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 t="s">
        <v>180</v>
      </c>
      <c r="P170" s="28"/>
    </row>
    <row r="171" spans="1:16" x14ac:dyDescent="0.3">
      <c r="A171" s="10"/>
      <c r="B171" s="22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 t="s">
        <v>180</v>
      </c>
      <c r="P171" s="28"/>
    </row>
    <row r="172" spans="1:16" x14ac:dyDescent="0.3">
      <c r="A172" s="12" t="s">
        <v>182</v>
      </c>
      <c r="B172" s="22" t="s">
        <v>177</v>
      </c>
      <c r="C172" s="17">
        <v>42.99</v>
      </c>
      <c r="D172" s="17">
        <v>14.4</v>
      </c>
      <c r="E172" s="17">
        <v>6.45</v>
      </c>
      <c r="F172" s="17">
        <v>3.38</v>
      </c>
      <c r="G172" s="17">
        <v>9.23</v>
      </c>
      <c r="H172" s="17">
        <v>0</v>
      </c>
      <c r="I172" s="17">
        <v>1.52</v>
      </c>
      <c r="J172" s="17">
        <v>0</v>
      </c>
      <c r="K172" s="17">
        <v>25.65</v>
      </c>
      <c r="L172" s="17">
        <v>1.33</v>
      </c>
      <c r="M172" s="17">
        <v>1.67</v>
      </c>
      <c r="N172" s="17">
        <v>38.1</v>
      </c>
      <c r="O172" s="14" t="s">
        <v>12</v>
      </c>
      <c r="P172" s="28"/>
    </row>
    <row r="173" spans="1:16" x14ac:dyDescent="0.3">
      <c r="A173" s="10"/>
      <c r="B173" s="22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28"/>
    </row>
    <row r="174" spans="1:16" x14ac:dyDescent="0.3">
      <c r="A174" s="11"/>
      <c r="B174" s="22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28"/>
    </row>
    <row r="175" spans="1:16" ht="18" x14ac:dyDescent="0.3">
      <c r="A175" s="37" t="s">
        <v>183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ht="15.6" x14ac:dyDescent="0.3">
      <c r="A176" s="8"/>
      <c r="B176" s="22"/>
      <c r="C176" s="45">
        <v>2010</v>
      </c>
      <c r="D176" s="45">
        <v>2011</v>
      </c>
      <c r="E176" s="45">
        <v>2012</v>
      </c>
      <c r="F176" s="45">
        <v>2013</v>
      </c>
      <c r="G176" s="45">
        <v>2014</v>
      </c>
      <c r="H176" s="45">
        <v>2015</v>
      </c>
      <c r="I176" s="45">
        <v>2016</v>
      </c>
      <c r="J176" s="45">
        <v>2017</v>
      </c>
      <c r="K176" s="45">
        <v>2018</v>
      </c>
      <c r="L176" s="45">
        <v>2019</v>
      </c>
      <c r="M176" s="45">
        <v>2020</v>
      </c>
      <c r="N176" s="45">
        <v>2021</v>
      </c>
      <c r="O176" s="13"/>
      <c r="P176" s="28"/>
    </row>
    <row r="177" spans="1:16" x14ac:dyDescent="0.3">
      <c r="A177" s="39" t="s">
        <v>184</v>
      </c>
      <c r="B177" s="22" t="s">
        <v>185</v>
      </c>
      <c r="C177" s="38">
        <f>C186</f>
        <v>0.88175820107633773</v>
      </c>
      <c r="D177" s="219">
        <f t="shared" ref="D177:N177" si="7">D186</f>
        <v>0.87847760065192737</v>
      </c>
      <c r="E177" s="219">
        <f t="shared" si="7"/>
        <v>0.87322003797494485</v>
      </c>
      <c r="F177" s="219">
        <f t="shared" si="7"/>
        <v>0.87105189713129128</v>
      </c>
      <c r="G177" s="219">
        <f t="shared" si="7"/>
        <v>0.86842343996840443</v>
      </c>
      <c r="H177" s="219">
        <f t="shared" si="7"/>
        <v>0.86715005767907161</v>
      </c>
      <c r="I177" s="219">
        <f t="shared" si="7"/>
        <v>0.86502462128331381</v>
      </c>
      <c r="J177" s="219">
        <f t="shared" si="7"/>
        <v>0.87293860564687709</v>
      </c>
      <c r="K177" s="219">
        <f t="shared" si="7"/>
        <v>0.87676690731840923</v>
      </c>
      <c r="L177" s="219">
        <f t="shared" si="7"/>
        <v>0.87333030815560386</v>
      </c>
      <c r="M177" s="219">
        <f t="shared" si="7"/>
        <v>0.87697968258708936</v>
      </c>
      <c r="N177" s="219">
        <f t="shared" si="7"/>
        <v>0.87394389996620481</v>
      </c>
      <c r="O177" s="13"/>
      <c r="P177" s="28"/>
    </row>
    <row r="178" spans="1:16" x14ac:dyDescent="0.3">
      <c r="A178" s="39" t="s">
        <v>186</v>
      </c>
      <c r="B178" s="22" t="s">
        <v>187</v>
      </c>
      <c r="C178" s="38">
        <f>IFERROR(C200/C199,"")</f>
        <v>0.48489390972181223</v>
      </c>
      <c r="D178" s="219">
        <f t="shared" ref="D178:N178" si="8">IFERROR(D200/D199,"")</f>
        <v>0.4894641740883604</v>
      </c>
      <c r="E178" s="219">
        <f t="shared" si="8"/>
        <v>0.53945883318531018</v>
      </c>
      <c r="F178" s="219">
        <f t="shared" si="8"/>
        <v>0.49314343194836541</v>
      </c>
      <c r="G178" s="219">
        <f t="shared" si="8"/>
        <v>0.50213168732289093</v>
      </c>
      <c r="H178" s="219">
        <f t="shared" si="8"/>
        <v>0.57943403816893713</v>
      </c>
      <c r="I178" s="219">
        <f t="shared" si="8"/>
        <v>0.46227387496803879</v>
      </c>
      <c r="J178" s="219">
        <f t="shared" si="8"/>
        <v>0.48422746146576867</v>
      </c>
      <c r="K178" s="219">
        <f t="shared" si="8"/>
        <v>0.50501456272461065</v>
      </c>
      <c r="L178" s="219">
        <f t="shared" si="8"/>
        <v>0.59848122921870428</v>
      </c>
      <c r="M178" s="219">
        <f t="shared" si="8"/>
        <v>0.61871627150734609</v>
      </c>
      <c r="N178" s="219">
        <f t="shared" si="8"/>
        <v>0.60972151860647894</v>
      </c>
      <c r="O178" s="13"/>
      <c r="P178" s="28"/>
    </row>
    <row r="179" spans="1:16" x14ac:dyDescent="0.3">
      <c r="A179" s="39" t="s">
        <v>188</v>
      </c>
      <c r="B179" s="22">
        <v>100</v>
      </c>
      <c r="C179" s="219">
        <f>C210</f>
        <v>1.007970076948195</v>
      </c>
      <c r="D179" s="219">
        <f t="shared" ref="D179:N179" si="9">D210</f>
        <v>0.99250577604199752</v>
      </c>
      <c r="E179" s="219">
        <f t="shared" si="9"/>
        <v>1.0018044781910722</v>
      </c>
      <c r="F179" s="219">
        <f t="shared" si="9"/>
        <v>0.98626115539894543</v>
      </c>
      <c r="G179" s="219">
        <f t="shared" si="9"/>
        <v>0.99717911855739827</v>
      </c>
      <c r="H179" s="219">
        <f t="shared" si="9"/>
        <v>0.98822990018418722</v>
      </c>
      <c r="I179" s="219">
        <f t="shared" si="9"/>
        <v>1.0106992541634621</v>
      </c>
      <c r="J179" s="219">
        <f t="shared" si="9"/>
        <v>0.99237359884430931</v>
      </c>
      <c r="K179" s="219">
        <f t="shared" si="9"/>
        <v>1.008054867281605</v>
      </c>
      <c r="L179" s="219">
        <f t="shared" si="9"/>
        <v>0.99851468393470777</v>
      </c>
      <c r="M179" s="219">
        <f t="shared" si="9"/>
        <v>0.98677408758493113</v>
      </c>
      <c r="N179" s="38">
        <f t="shared" si="9"/>
        <v>1</v>
      </c>
      <c r="O179" s="13"/>
      <c r="P179" s="28"/>
    </row>
    <row r="180" spans="1:16" ht="15.6" x14ac:dyDescent="0.3">
      <c r="A180" s="3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28"/>
    </row>
    <row r="181" spans="1:16" ht="15.6" x14ac:dyDescent="0.3">
      <c r="A181" s="35" t="s">
        <v>189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28"/>
    </row>
    <row r="182" spans="1:16" x14ac:dyDescent="0.3">
      <c r="A182" s="3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28"/>
    </row>
    <row r="183" spans="1:16" x14ac:dyDescent="0.3">
      <c r="A183" s="39" t="s">
        <v>190</v>
      </c>
      <c r="B183" s="22" t="s">
        <v>103</v>
      </c>
      <c r="C183" s="219">
        <f t="shared" ref="C183:N183" si="10">IFERROR(C24/C$11,"")</f>
        <v>2.7903666632388399E-2</v>
      </c>
      <c r="D183" s="219">
        <f t="shared" si="10"/>
        <v>2.8171999083893031E-2</v>
      </c>
      <c r="E183" s="219">
        <f t="shared" si="10"/>
        <v>2.7743751676882748E-2</v>
      </c>
      <c r="F183" s="219">
        <f t="shared" si="10"/>
        <v>2.5988435661287942E-2</v>
      </c>
      <c r="G183" s="219">
        <f t="shared" si="10"/>
        <v>2.8321494865718801E-2</v>
      </c>
      <c r="H183" s="219">
        <f t="shared" si="10"/>
        <v>2.8582645869887648E-2</v>
      </c>
      <c r="I183" s="219">
        <f t="shared" si="10"/>
        <v>2.1116039544412282E-2</v>
      </c>
      <c r="J183" s="219">
        <f t="shared" si="10"/>
        <v>2.132346736190379E-2</v>
      </c>
      <c r="K183" s="219">
        <f t="shared" si="10"/>
        <v>1.8393382148405239E-2</v>
      </c>
      <c r="L183" s="219">
        <f t="shared" si="10"/>
        <v>2.4062538674147104E-2</v>
      </c>
      <c r="M183" s="219">
        <f t="shared" si="10"/>
        <v>2.4121224188423471E-2</v>
      </c>
      <c r="N183" s="219">
        <f t="shared" si="10"/>
        <v>1.8840824602906387E-2</v>
      </c>
      <c r="O183" s="13"/>
      <c r="P183" s="28"/>
    </row>
    <row r="184" spans="1:16" x14ac:dyDescent="0.3">
      <c r="A184" s="39" t="s">
        <v>191</v>
      </c>
      <c r="B184" s="22" t="s">
        <v>103</v>
      </c>
      <c r="C184" s="219">
        <f t="shared" ref="C184:N184" si="11">IFERROR(C25/C$11,"")</f>
        <v>0.22649933157371541</v>
      </c>
      <c r="D184" s="219">
        <f t="shared" si="11"/>
        <v>0.24360310730701837</v>
      </c>
      <c r="E184" s="219">
        <f t="shared" si="11"/>
        <v>0.24243829071471326</v>
      </c>
      <c r="F184" s="219">
        <f t="shared" si="11"/>
        <v>0.24316353317500594</v>
      </c>
      <c r="G184" s="219">
        <f t="shared" si="11"/>
        <v>0.24241730845181672</v>
      </c>
      <c r="H184" s="219">
        <f t="shared" si="11"/>
        <v>0.23863236135211374</v>
      </c>
      <c r="I184" s="219">
        <f t="shared" si="11"/>
        <v>0.24561139721084085</v>
      </c>
      <c r="J184" s="219">
        <f t="shared" si="11"/>
        <v>0.24721631260798313</v>
      </c>
      <c r="K184" s="219">
        <f t="shared" si="11"/>
        <v>0.24968866483217858</v>
      </c>
      <c r="L184" s="219">
        <f t="shared" si="11"/>
        <v>0.23388474072851778</v>
      </c>
      <c r="M184" s="219">
        <f t="shared" si="11"/>
        <v>0.23263396301550562</v>
      </c>
      <c r="N184" s="219">
        <f t="shared" si="11"/>
        <v>0.23143568158775998</v>
      </c>
      <c r="O184" s="13"/>
      <c r="P184" s="28"/>
    </row>
    <row r="185" spans="1:16" x14ac:dyDescent="0.3">
      <c r="A185" s="39" t="s">
        <v>192</v>
      </c>
      <c r="B185" s="22" t="s">
        <v>103</v>
      </c>
      <c r="C185" s="219">
        <f t="shared" ref="C185:N185" si="12">IFERROR(C26/C$11,"")</f>
        <v>0.62735520287023394</v>
      </c>
      <c r="D185" s="219">
        <f t="shared" si="12"/>
        <v>0.60670249426101597</v>
      </c>
      <c r="E185" s="219">
        <f t="shared" si="12"/>
        <v>0.60303799558334881</v>
      </c>
      <c r="F185" s="219">
        <f t="shared" si="12"/>
        <v>0.60189992829499739</v>
      </c>
      <c r="G185" s="219">
        <f t="shared" si="12"/>
        <v>0.59768463665086891</v>
      </c>
      <c r="H185" s="219">
        <f t="shared" si="12"/>
        <v>0.5999350504570703</v>
      </c>
      <c r="I185" s="219">
        <f t="shared" si="12"/>
        <v>0.59829718452806069</v>
      </c>
      <c r="J185" s="219">
        <f t="shared" si="12"/>
        <v>0.60439882567699021</v>
      </c>
      <c r="K185" s="219">
        <f t="shared" si="12"/>
        <v>0.60868486033782543</v>
      </c>
      <c r="L185" s="219">
        <f t="shared" si="12"/>
        <v>0.61538302875293904</v>
      </c>
      <c r="M185" s="219">
        <f t="shared" si="12"/>
        <v>0.62022449538316027</v>
      </c>
      <c r="N185" s="219">
        <f t="shared" si="12"/>
        <v>0.62366739377553848</v>
      </c>
      <c r="O185" s="13"/>
      <c r="P185" s="28"/>
    </row>
    <row r="186" spans="1:16" x14ac:dyDescent="0.3">
      <c r="A186" s="24" t="s">
        <v>193</v>
      </c>
      <c r="B186" s="25" t="s">
        <v>103</v>
      </c>
      <c r="C186" s="219">
        <f>SUM(C183:C185)</f>
        <v>0.88175820107633773</v>
      </c>
      <c r="D186" s="219">
        <f t="shared" ref="D186:N186" si="13">SUM(D183:D185)</f>
        <v>0.87847760065192737</v>
      </c>
      <c r="E186" s="219">
        <f t="shared" si="13"/>
        <v>0.87322003797494485</v>
      </c>
      <c r="F186" s="219">
        <f t="shared" si="13"/>
        <v>0.87105189713129128</v>
      </c>
      <c r="G186" s="219">
        <f t="shared" si="13"/>
        <v>0.86842343996840443</v>
      </c>
      <c r="H186" s="219">
        <f t="shared" si="13"/>
        <v>0.86715005767907161</v>
      </c>
      <c r="I186" s="219">
        <f t="shared" si="13"/>
        <v>0.86502462128331381</v>
      </c>
      <c r="J186" s="219">
        <f t="shared" si="13"/>
        <v>0.87293860564687709</v>
      </c>
      <c r="K186" s="219">
        <f t="shared" si="13"/>
        <v>0.87676690731840923</v>
      </c>
      <c r="L186" s="219">
        <f t="shared" si="13"/>
        <v>0.87333030815560386</v>
      </c>
      <c r="M186" s="219">
        <f t="shared" si="13"/>
        <v>0.87697968258708936</v>
      </c>
      <c r="N186" s="219">
        <f t="shared" si="13"/>
        <v>0.87394389996620481</v>
      </c>
      <c r="O186" s="13"/>
      <c r="P186" s="28"/>
    </row>
    <row r="187" spans="1:16" ht="15.6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28"/>
    </row>
    <row r="188" spans="1:16" ht="15.6" x14ac:dyDescent="0.3">
      <c r="A188" s="35" t="s">
        <v>194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28"/>
    </row>
    <row r="189" spans="1:16" ht="15.6" x14ac:dyDescent="0.3">
      <c r="A189" s="36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28"/>
    </row>
    <row r="190" spans="1:16" ht="15.6" x14ac:dyDescent="0.3">
      <c r="A190" s="39" t="s">
        <v>195</v>
      </c>
      <c r="B190" s="22" t="s">
        <v>66</v>
      </c>
      <c r="C190" s="17">
        <f>C11</f>
        <v>17503.8</v>
      </c>
      <c r="D190" s="17">
        <f t="shared" ref="D190:N190" si="14">D11</f>
        <v>18775.099999999999</v>
      </c>
      <c r="E190" s="17">
        <f t="shared" si="14"/>
        <v>19381.2</v>
      </c>
      <c r="F190" s="17">
        <f t="shared" si="14"/>
        <v>19663.900000000001</v>
      </c>
      <c r="G190" s="17">
        <f t="shared" si="14"/>
        <v>20256</v>
      </c>
      <c r="H190" s="17">
        <f t="shared" si="14"/>
        <v>20631.400000000001</v>
      </c>
      <c r="I190" s="17">
        <f t="shared" si="14"/>
        <v>21282.400000000001</v>
      </c>
      <c r="J190" s="17">
        <f t="shared" si="14"/>
        <v>22515.1</v>
      </c>
      <c r="K190" s="17">
        <f t="shared" si="14"/>
        <v>23367.1</v>
      </c>
      <c r="L190" s="17">
        <f t="shared" si="14"/>
        <v>24241</v>
      </c>
      <c r="M190" s="17">
        <f t="shared" si="14"/>
        <v>24107.4</v>
      </c>
      <c r="N190" s="17">
        <f t="shared" si="14"/>
        <v>26039.200000000001</v>
      </c>
      <c r="O190" s="34"/>
      <c r="P190" s="28"/>
    </row>
    <row r="191" spans="1:16" ht="15.6" x14ac:dyDescent="0.3">
      <c r="A191" s="39" t="s">
        <v>196</v>
      </c>
      <c r="B191" s="22" t="str">
        <f>B190</f>
        <v>MEUR2015</v>
      </c>
      <c r="C191" s="220">
        <f>C24</f>
        <v>488.42020000000002</v>
      </c>
      <c r="D191" s="220">
        <f t="shared" ref="D191:N191" si="15">D24</f>
        <v>528.93209999999999</v>
      </c>
      <c r="E191" s="220">
        <f t="shared" si="15"/>
        <v>537.70719999999994</v>
      </c>
      <c r="F191" s="220">
        <f t="shared" si="15"/>
        <v>511.03399999999999</v>
      </c>
      <c r="G191" s="220">
        <f t="shared" si="15"/>
        <v>573.68020000000001</v>
      </c>
      <c r="H191" s="220">
        <f t="shared" si="15"/>
        <v>589.70000000000005</v>
      </c>
      <c r="I191" s="220">
        <f t="shared" si="15"/>
        <v>449.4</v>
      </c>
      <c r="J191" s="220">
        <f t="shared" si="15"/>
        <v>480.1</v>
      </c>
      <c r="K191" s="220">
        <f t="shared" si="15"/>
        <v>429.8</v>
      </c>
      <c r="L191" s="220">
        <f t="shared" si="15"/>
        <v>583.29999999999995</v>
      </c>
      <c r="M191" s="220">
        <f t="shared" si="15"/>
        <v>581.5</v>
      </c>
      <c r="N191" s="17">
        <f t="shared" si="15"/>
        <v>490.6</v>
      </c>
      <c r="O191" s="34"/>
      <c r="P191" s="28"/>
    </row>
    <row r="192" spans="1:16" ht="15.6" x14ac:dyDescent="0.3">
      <c r="A192" s="39" t="s">
        <v>197</v>
      </c>
      <c r="B192" s="22" t="str">
        <f>B191</f>
        <v>MEUR2015</v>
      </c>
      <c r="C192" s="220">
        <f>C25</f>
        <v>3964.5989999999997</v>
      </c>
      <c r="D192" s="220">
        <f t="shared" ref="D192:N192" si="16">D25</f>
        <v>4573.6727000000001</v>
      </c>
      <c r="E192" s="220">
        <f t="shared" si="16"/>
        <v>4698.7450000000008</v>
      </c>
      <c r="F192" s="220">
        <f t="shared" si="16"/>
        <v>4781.5433999999996</v>
      </c>
      <c r="G192" s="220">
        <f t="shared" si="16"/>
        <v>4910.4049999999997</v>
      </c>
      <c r="H192" s="220">
        <f t="shared" si="16"/>
        <v>4923.3197</v>
      </c>
      <c r="I192" s="220">
        <f t="shared" si="16"/>
        <v>5227.2</v>
      </c>
      <c r="J192" s="220">
        <f t="shared" si="16"/>
        <v>5566.1</v>
      </c>
      <c r="K192" s="220">
        <f t="shared" si="16"/>
        <v>5834.5</v>
      </c>
      <c r="L192" s="220">
        <f t="shared" si="16"/>
        <v>5669.5999999999995</v>
      </c>
      <c r="M192" s="220">
        <f t="shared" si="16"/>
        <v>5608.2000000000007</v>
      </c>
      <c r="N192" s="220">
        <f t="shared" si="16"/>
        <v>6026.4</v>
      </c>
      <c r="O192" s="34"/>
      <c r="P192" s="28"/>
    </row>
    <row r="193" spans="1:16" ht="15.6" x14ac:dyDescent="0.3">
      <c r="A193" s="39" t="s">
        <v>198</v>
      </c>
      <c r="B193" s="22" t="str">
        <f>B192</f>
        <v>MEUR2015</v>
      </c>
      <c r="C193" s="220">
        <f>C26</f>
        <v>10981.1</v>
      </c>
      <c r="D193" s="220">
        <f t="shared" ref="D193:N193" si="17">D26</f>
        <v>11390.9</v>
      </c>
      <c r="E193" s="220">
        <f t="shared" si="17"/>
        <v>11687.6</v>
      </c>
      <c r="F193" s="220">
        <f t="shared" si="17"/>
        <v>11835.7</v>
      </c>
      <c r="G193" s="220">
        <f t="shared" si="17"/>
        <v>12106.7</v>
      </c>
      <c r="H193" s="220">
        <f t="shared" si="17"/>
        <v>12377.5</v>
      </c>
      <c r="I193" s="220">
        <f t="shared" si="17"/>
        <v>12733.2</v>
      </c>
      <c r="J193" s="220">
        <f t="shared" si="17"/>
        <v>13608.1</v>
      </c>
      <c r="K193" s="220">
        <f t="shared" si="17"/>
        <v>14223.2</v>
      </c>
      <c r="L193" s="220">
        <f t="shared" si="17"/>
        <v>14917.499999999996</v>
      </c>
      <c r="M193" s="220">
        <f t="shared" si="17"/>
        <v>14952</v>
      </c>
      <c r="N193" s="220">
        <f t="shared" si="17"/>
        <v>16239.800000000001</v>
      </c>
      <c r="O193" s="34"/>
      <c r="P193" s="28"/>
    </row>
    <row r="194" spans="1:16" ht="15.6" x14ac:dyDescent="0.3">
      <c r="A194" s="39" t="s">
        <v>199</v>
      </c>
      <c r="B194" s="22" t="str">
        <f>B193</f>
        <v>MEUR2015</v>
      </c>
      <c r="C194" s="220">
        <f>C31</f>
        <v>8971.7525000000005</v>
      </c>
      <c r="D194" s="220">
        <f t="shared" ref="D194:N194" si="18">D31</f>
        <v>9255.2047000000002</v>
      </c>
      <c r="E194" s="220">
        <f t="shared" si="18"/>
        <v>9676.0995000000003</v>
      </c>
      <c r="F194" s="220">
        <f t="shared" si="18"/>
        <v>10042.1124</v>
      </c>
      <c r="G194" s="220">
        <f t="shared" si="18"/>
        <v>10438.3302</v>
      </c>
      <c r="H194" s="220">
        <f t="shared" si="18"/>
        <v>10772.8</v>
      </c>
      <c r="I194" s="220">
        <f t="shared" si="18"/>
        <v>11140.9</v>
      </c>
      <c r="J194" s="220">
        <f t="shared" si="18"/>
        <v>11376.7</v>
      </c>
      <c r="K194" s="220">
        <f t="shared" si="18"/>
        <v>11789.9</v>
      </c>
      <c r="L194" s="220">
        <f t="shared" si="18"/>
        <v>12201.8</v>
      </c>
      <c r="M194" s="220">
        <f t="shared" si="18"/>
        <v>11842.2</v>
      </c>
      <c r="N194" s="220">
        <f t="shared" si="18"/>
        <v>12585.7</v>
      </c>
      <c r="O194" s="34"/>
      <c r="P194" s="28"/>
    </row>
    <row r="195" spans="1:16" ht="15.6" x14ac:dyDescent="0.3">
      <c r="A195" s="39" t="s">
        <v>200</v>
      </c>
      <c r="B195" s="22" t="s">
        <v>201</v>
      </c>
      <c r="C195" s="221">
        <f t="shared" ref="C195:N195" si="19">C190/C35</f>
        <v>13.128276668991742</v>
      </c>
      <c r="D195" s="221">
        <f t="shared" si="19"/>
        <v>14.120226223245037</v>
      </c>
      <c r="E195" s="221">
        <f t="shared" si="19"/>
        <v>14.624925578226057</v>
      </c>
      <c r="F195" s="221">
        <f t="shared" si="19"/>
        <v>14.894930516734917</v>
      </c>
      <c r="G195" s="221">
        <f t="shared" si="19"/>
        <v>15.394214553825412</v>
      </c>
      <c r="H195" s="221">
        <f t="shared" si="19"/>
        <v>15.70993344100342</v>
      </c>
      <c r="I195" s="221">
        <f t="shared" si="19"/>
        <v>16.172724675214145</v>
      </c>
      <c r="J195" s="221">
        <f t="shared" si="19"/>
        <v>17.113485123153456</v>
      </c>
      <c r="K195" s="221">
        <f t="shared" si="19"/>
        <v>17.713983351185966</v>
      </c>
      <c r="L195" s="221">
        <f t="shared" si="19"/>
        <v>18.297580048610378</v>
      </c>
      <c r="M195" s="221">
        <f t="shared" si="19"/>
        <v>18.141018550082062</v>
      </c>
      <c r="N195" s="221">
        <f t="shared" si="19"/>
        <v>19.577344917703456</v>
      </c>
      <c r="O195" s="34"/>
      <c r="P195" s="28"/>
    </row>
    <row r="196" spans="1:16" ht="15.6" x14ac:dyDescent="0.3">
      <c r="A196" s="33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28"/>
    </row>
    <row r="197" spans="1:16" ht="15.6" x14ac:dyDescent="0.3">
      <c r="A197" s="35" t="s">
        <v>202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28"/>
    </row>
    <row r="198" spans="1:16" ht="15.6" x14ac:dyDescent="0.3">
      <c r="A198" s="41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28"/>
    </row>
    <row r="199" spans="1:16" ht="15.6" x14ac:dyDescent="0.3">
      <c r="A199" s="43" t="s">
        <v>101</v>
      </c>
      <c r="B199" s="22" t="s">
        <v>203</v>
      </c>
      <c r="C199" s="15">
        <f t="shared" ref="C199:N199" si="20">C51/1000</f>
        <v>5.8905608101652822</v>
      </c>
      <c r="D199" s="15">
        <f t="shared" si="20"/>
        <v>5.7249450654437748</v>
      </c>
      <c r="E199" s="15">
        <f t="shared" si="20"/>
        <v>5.228886022738128</v>
      </c>
      <c r="F199" s="15">
        <f t="shared" si="20"/>
        <v>5.8393522499283446</v>
      </c>
      <c r="G199" s="15">
        <f t="shared" si="20"/>
        <v>5.5391229578675842</v>
      </c>
      <c r="H199" s="15">
        <f t="shared" si="20"/>
        <v>4.8013279831852484</v>
      </c>
      <c r="I199" s="15">
        <f t="shared" si="20"/>
        <v>5.9784083309448741</v>
      </c>
      <c r="J199" s="15">
        <f t="shared" si="20"/>
        <v>5.853253081112066</v>
      </c>
      <c r="K199" s="15">
        <f t="shared" si="20"/>
        <v>5.6484666093436502</v>
      </c>
      <c r="L199" s="15">
        <f t="shared" si="20"/>
        <v>4.7289099073277931</v>
      </c>
      <c r="M199" s="15">
        <f t="shared" si="20"/>
        <v>4.4657256138339543</v>
      </c>
      <c r="N199" s="15">
        <f t="shared" si="20"/>
        <v>4.5469999999999997</v>
      </c>
      <c r="O199" s="34"/>
      <c r="P199" s="28"/>
    </row>
    <row r="200" spans="1:16" ht="15.6" x14ac:dyDescent="0.3">
      <c r="A200" s="43" t="s">
        <v>204</v>
      </c>
      <c r="B200" s="22" t="s">
        <v>203</v>
      </c>
      <c r="C200" s="15">
        <f t="shared" ref="C200:M200" si="21">(C73+C88+C108+C125+D141)/1000</f>
        <v>2.8562970616951295</v>
      </c>
      <c r="D200" s="15">
        <f t="shared" si="21"/>
        <v>2.8021555081586715</v>
      </c>
      <c r="E200" s="15">
        <f t="shared" si="21"/>
        <v>2.8207687526852876</v>
      </c>
      <c r="F200" s="15">
        <f t="shared" si="21"/>
        <v>2.8796382088850732</v>
      </c>
      <c r="G200" s="15">
        <f t="shared" si="21"/>
        <v>2.7813691571230126</v>
      </c>
      <c r="H200" s="15">
        <f t="shared" si="21"/>
        <v>2.7820528618705471</v>
      </c>
      <c r="I200" s="15">
        <f t="shared" si="21"/>
        <v>2.7636619852870923</v>
      </c>
      <c r="J200" s="15">
        <f t="shared" si="21"/>
        <v>2.8343058807835848</v>
      </c>
      <c r="K200" s="15">
        <f t="shared" si="21"/>
        <v>2.8525578947822474</v>
      </c>
      <c r="L200" s="15">
        <f t="shared" si="21"/>
        <v>2.8301638142020464</v>
      </c>
      <c r="M200" s="249">
        <f t="shared" si="21"/>
        <v>2.7630171013661986</v>
      </c>
      <c r="N200" s="15">
        <f>(N73+N88+N108+N125+N141)/1000</f>
        <v>2.7724037451036594</v>
      </c>
      <c r="O200" s="34"/>
      <c r="P200" s="28"/>
    </row>
    <row r="201" spans="1:16" ht="15.6" x14ac:dyDescent="0.3">
      <c r="A201" s="42" t="s">
        <v>205</v>
      </c>
      <c r="B201" s="13" t="s">
        <v>203</v>
      </c>
      <c r="C201" s="15">
        <f t="shared" ref="C201:N201" si="22">(C70+C86+C103+C122+C138)/1000</f>
        <v>0.59363714531384348</v>
      </c>
      <c r="D201" s="15">
        <f t="shared" si="22"/>
        <v>0.5690455717970766</v>
      </c>
      <c r="E201" s="15">
        <f t="shared" si="22"/>
        <v>0.59922613929492685</v>
      </c>
      <c r="F201" s="15">
        <f t="shared" si="22"/>
        <v>0.58572656921754085</v>
      </c>
      <c r="G201" s="15">
        <f t="shared" si="22"/>
        <v>0.59294926913155632</v>
      </c>
      <c r="H201" s="15">
        <f t="shared" si="22"/>
        <v>0.58847807394668961</v>
      </c>
      <c r="I201" s="15">
        <f t="shared" si="22"/>
        <v>0.62708512467755806</v>
      </c>
      <c r="J201" s="15">
        <f t="shared" si="22"/>
        <v>0.62086557752937799</v>
      </c>
      <c r="K201" s="15">
        <f t="shared" si="22"/>
        <v>0.63238607050730866</v>
      </c>
      <c r="L201" s="15">
        <f t="shared" si="22"/>
        <v>0.62880577051686248</v>
      </c>
      <c r="M201" s="15">
        <f t="shared" si="22"/>
        <v>0.61703448934747307</v>
      </c>
      <c r="N201" s="15">
        <f t="shared" si="22"/>
        <v>0.67762969332186862</v>
      </c>
      <c r="O201" s="34"/>
      <c r="P201" s="28"/>
    </row>
    <row r="202" spans="1:16" ht="15.6" x14ac:dyDescent="0.3">
      <c r="A202" s="39"/>
      <c r="B202" s="29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28"/>
    </row>
    <row r="203" spans="1:16" ht="15.6" x14ac:dyDescent="0.3">
      <c r="A203" s="41"/>
      <c r="B203" s="29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28"/>
    </row>
    <row r="204" spans="1:16" ht="15.6" x14ac:dyDescent="0.3">
      <c r="A204" s="39" t="s">
        <v>206</v>
      </c>
      <c r="B204" s="22" t="s">
        <v>203</v>
      </c>
      <c r="C204" s="15">
        <f t="shared" ref="C204:N204" si="23">C73/1000</f>
        <v>0.57769657017292442</v>
      </c>
      <c r="D204" s="15">
        <f t="shared" si="23"/>
        <v>0.58608006114454947</v>
      </c>
      <c r="E204" s="15">
        <f t="shared" si="23"/>
        <v>0.56408235406515717</v>
      </c>
      <c r="F204" s="15">
        <f t="shared" si="23"/>
        <v>0.6396054265787714</v>
      </c>
      <c r="G204" s="15">
        <f t="shared" si="23"/>
        <v>0.55584217063150854</v>
      </c>
      <c r="H204" s="15">
        <f t="shared" si="23"/>
        <v>0.53501480844559091</v>
      </c>
      <c r="I204" s="15">
        <f t="shared" si="23"/>
        <v>0.45779593006592151</v>
      </c>
      <c r="J204" s="15">
        <f t="shared" si="23"/>
        <v>0.46577338301327986</v>
      </c>
      <c r="K204" s="15">
        <f t="shared" si="23"/>
        <v>0.48784274386166038</v>
      </c>
      <c r="L204" s="15">
        <f t="shared" si="23"/>
        <v>0.45927677462501193</v>
      </c>
      <c r="M204" s="15">
        <f t="shared" si="23"/>
        <v>0.40802044520875125</v>
      </c>
      <c r="N204" s="15">
        <f t="shared" si="23"/>
        <v>0.37816470813031428</v>
      </c>
      <c r="O204" s="34"/>
      <c r="P204" s="28"/>
    </row>
    <row r="205" spans="1:16" ht="15.6" x14ac:dyDescent="0.3">
      <c r="A205" s="39" t="s">
        <v>207</v>
      </c>
      <c r="B205" s="22" t="s">
        <v>203</v>
      </c>
      <c r="C205" s="15">
        <f t="shared" ref="C205:N205" si="24">C88/1000</f>
        <v>0.7546097258049107</v>
      </c>
      <c r="D205" s="15">
        <f t="shared" si="24"/>
        <v>0.74925957772045471</v>
      </c>
      <c r="E205" s="15">
        <f t="shared" si="24"/>
        <v>0.75781026081971914</v>
      </c>
      <c r="F205" s="15">
        <f t="shared" si="24"/>
        <v>0.73920416547243717</v>
      </c>
      <c r="G205" s="15">
        <f t="shared" si="24"/>
        <v>0.74152097066972389</v>
      </c>
      <c r="H205" s="15">
        <f t="shared" si="24"/>
        <v>0.76000764306869195</v>
      </c>
      <c r="I205" s="15">
        <f t="shared" si="24"/>
        <v>0.77689404796025596</v>
      </c>
      <c r="J205" s="15">
        <f t="shared" si="24"/>
        <v>0.80400305722747678</v>
      </c>
      <c r="K205" s="15">
        <f t="shared" si="24"/>
        <v>0.83211521926053311</v>
      </c>
      <c r="L205" s="15">
        <f t="shared" si="24"/>
        <v>0.83476640871309826</v>
      </c>
      <c r="M205" s="15">
        <f t="shared" si="24"/>
        <v>0.79277730008598446</v>
      </c>
      <c r="N205" s="15">
        <f t="shared" si="24"/>
        <v>0.83579344606859651</v>
      </c>
      <c r="O205" s="34"/>
      <c r="P205" s="28"/>
    </row>
    <row r="206" spans="1:16" ht="15.6" x14ac:dyDescent="0.3">
      <c r="A206" s="39" t="s">
        <v>208</v>
      </c>
      <c r="B206" s="22" t="s">
        <v>203</v>
      </c>
      <c r="C206" s="15">
        <f t="shared" ref="C206:N206" si="25">C82/1000</f>
        <v>9.5529000000000002E-4</v>
      </c>
      <c r="D206" s="15">
        <f t="shared" si="25"/>
        <v>1.1591699999999999E-3</v>
      </c>
      <c r="E206" s="15">
        <f t="shared" si="25"/>
        <v>1.0309500000000001E-3</v>
      </c>
      <c r="F206" s="15">
        <f t="shared" si="25"/>
        <v>1.3325699999999999E-3</v>
      </c>
      <c r="G206" s="15">
        <f t="shared" si="25"/>
        <v>1.3451800000000001E-3</v>
      </c>
      <c r="H206" s="15">
        <f t="shared" si="25"/>
        <v>1.42085E-3</v>
      </c>
      <c r="I206" s="15">
        <f t="shared" si="25"/>
        <v>1.1570700000000001E-3</v>
      </c>
      <c r="J206" s="15">
        <f t="shared" si="25"/>
        <v>1.22222E-3</v>
      </c>
      <c r="K206" s="15">
        <f t="shared" si="25"/>
        <v>1.3641E-3</v>
      </c>
      <c r="L206" s="15">
        <f t="shared" si="25"/>
        <v>1.3641E-3</v>
      </c>
      <c r="M206" s="15">
        <f t="shared" si="25"/>
        <v>1.1942294831374797E-3</v>
      </c>
      <c r="N206" s="15">
        <f t="shared" si="25"/>
        <v>1.8629979936944682E-3</v>
      </c>
      <c r="O206" s="34"/>
      <c r="P206" s="28"/>
    </row>
    <row r="207" spans="1:16" ht="15.6" x14ac:dyDescent="0.3">
      <c r="A207" s="39" t="s">
        <v>209</v>
      </c>
      <c r="B207" s="22" t="s">
        <v>203</v>
      </c>
      <c r="C207" s="15">
        <f t="shared" ref="C207:N207" si="26">C108/1000</f>
        <v>1.0268462787809305</v>
      </c>
      <c r="D207" s="15">
        <f t="shared" si="26"/>
        <v>0.93524887742428575</v>
      </c>
      <c r="E207" s="15">
        <f t="shared" si="26"/>
        <v>0.97083691602178268</v>
      </c>
      <c r="F207" s="15">
        <f t="shared" si="26"/>
        <v>0.9337228464635442</v>
      </c>
      <c r="G207" s="15">
        <f t="shared" si="26"/>
        <v>0.88814349861469388</v>
      </c>
      <c r="H207" s="15">
        <f t="shared" si="26"/>
        <v>0.85700787182564886</v>
      </c>
      <c r="I207" s="15">
        <f t="shared" si="26"/>
        <v>0.93056749785038684</v>
      </c>
      <c r="J207" s="15">
        <f t="shared" si="26"/>
        <v>0.94248590809209898</v>
      </c>
      <c r="K207" s="15">
        <f t="shared" si="26"/>
        <v>0.94112195325172299</v>
      </c>
      <c r="L207" s="15">
        <f t="shared" si="26"/>
        <v>0.95130035650848099</v>
      </c>
      <c r="M207" s="15">
        <f t="shared" si="26"/>
        <v>0.94473105952039738</v>
      </c>
      <c r="N207" s="15">
        <f t="shared" si="26"/>
        <v>0.96520015286137384</v>
      </c>
      <c r="O207" s="34"/>
      <c r="P207" s="28"/>
    </row>
    <row r="208" spans="1:16" ht="15.6" x14ac:dyDescent="0.3">
      <c r="A208" s="39" t="s">
        <v>149</v>
      </c>
      <c r="B208" s="22" t="s">
        <v>203</v>
      </c>
      <c r="C208" s="15">
        <f t="shared" ref="C208:N208" si="27">C125/1000</f>
        <v>9.4975766194986627E-2</v>
      </c>
      <c r="D208" s="15">
        <f t="shared" si="27"/>
        <v>0.10839829018471253</v>
      </c>
      <c r="E208" s="15">
        <f t="shared" si="27"/>
        <v>0.1099605357902381</v>
      </c>
      <c r="F208" s="15">
        <f t="shared" si="27"/>
        <v>0.10946418252279973</v>
      </c>
      <c r="G208" s="15">
        <f t="shared" si="27"/>
        <v>0.13037501671921276</v>
      </c>
      <c r="H208" s="15">
        <f t="shared" si="27"/>
        <v>0.13178999816565853</v>
      </c>
      <c r="I208" s="15">
        <f t="shared" si="27"/>
        <v>0.12974109104805578</v>
      </c>
      <c r="J208" s="15">
        <f t="shared" si="27"/>
        <v>0.13176456044346821</v>
      </c>
      <c r="K208" s="15">
        <f t="shared" si="27"/>
        <v>0.12417598165663513</v>
      </c>
      <c r="L208" s="15">
        <f t="shared" si="27"/>
        <v>0.11331458982311605</v>
      </c>
      <c r="M208" s="15">
        <f t="shared" si="27"/>
        <v>0.10943918983471862</v>
      </c>
      <c r="N208" s="15">
        <f t="shared" si="27"/>
        <v>8.5196331327027794E-2</v>
      </c>
      <c r="O208" s="34"/>
      <c r="P208" s="28"/>
    </row>
    <row r="209" spans="1:16" ht="15.6" x14ac:dyDescent="0.3">
      <c r="A209" s="39" t="s">
        <v>210</v>
      </c>
      <c r="B209" s="22" t="s">
        <v>203</v>
      </c>
      <c r="C209" s="155">
        <f t="shared" ref="C209:N209" si="28">C141/1000</f>
        <v>0.42493362810999047</v>
      </c>
      <c r="D209" s="155">
        <f t="shared" si="28"/>
        <v>0.40216872074137761</v>
      </c>
      <c r="E209" s="155">
        <f t="shared" si="28"/>
        <v>0.42316870168466891</v>
      </c>
      <c r="F209" s="155">
        <f t="shared" si="28"/>
        <v>0.41807868598839004</v>
      </c>
      <c r="G209" s="155">
        <f t="shared" si="28"/>
        <v>0.45764158784752079</v>
      </c>
      <c r="H209" s="155">
        <f t="shared" si="28"/>
        <v>0.46548750048787296</v>
      </c>
      <c r="I209" s="155">
        <f t="shared" si="28"/>
        <v>0.49823254036495651</v>
      </c>
      <c r="J209" s="155">
        <f t="shared" si="28"/>
        <v>0.46866341836247249</v>
      </c>
      <c r="K209" s="155">
        <f t="shared" si="28"/>
        <v>0.49027897200726089</v>
      </c>
      <c r="L209" s="155">
        <f t="shared" si="28"/>
        <v>0.46730199675169581</v>
      </c>
      <c r="M209" s="155">
        <f t="shared" si="28"/>
        <v>0.47150568453233971</v>
      </c>
      <c r="N209" s="155">
        <f t="shared" si="28"/>
        <v>0.50804910671634662</v>
      </c>
      <c r="O209" s="34"/>
      <c r="P209" s="28"/>
    </row>
    <row r="210" spans="1:16" ht="15.6" x14ac:dyDescent="0.3">
      <c r="A210" s="24" t="s">
        <v>211</v>
      </c>
      <c r="B210" s="25" t="s">
        <v>103</v>
      </c>
      <c r="C210" s="87">
        <f>IFERROR((C204+C205+C207+C208+C209)/C200,"")</f>
        <v>1.007970076948195</v>
      </c>
      <c r="D210" s="87">
        <f t="shared" ref="D210:N210" si="29">IFERROR((D204+D205+D207+D208+D209)/D200,"")</f>
        <v>0.99250577604199752</v>
      </c>
      <c r="E210" s="87">
        <f t="shared" si="29"/>
        <v>1.0018044781910722</v>
      </c>
      <c r="F210" s="87">
        <f t="shared" si="29"/>
        <v>0.98626115539894543</v>
      </c>
      <c r="G210" s="87">
        <f t="shared" si="29"/>
        <v>0.99717911855739827</v>
      </c>
      <c r="H210" s="87">
        <f t="shared" si="29"/>
        <v>0.98822990018418722</v>
      </c>
      <c r="I210" s="87">
        <f t="shared" si="29"/>
        <v>1.0106992541634621</v>
      </c>
      <c r="J210" s="87">
        <f t="shared" si="29"/>
        <v>0.99237359884430931</v>
      </c>
      <c r="K210" s="87">
        <f t="shared" si="29"/>
        <v>1.008054867281605</v>
      </c>
      <c r="L210" s="87">
        <f t="shared" si="29"/>
        <v>0.99851468393470777</v>
      </c>
      <c r="M210" s="87">
        <f t="shared" si="29"/>
        <v>0.98677408758493113</v>
      </c>
      <c r="N210" s="87">
        <f t="shared" si="29"/>
        <v>1</v>
      </c>
      <c r="O210" s="34"/>
      <c r="P210" s="28"/>
    </row>
    <row r="211" spans="1:16" ht="15.6" x14ac:dyDescent="0.3">
      <c r="A211" s="33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271"/>
      <c r="O211" s="34"/>
      <c r="P211" s="28"/>
    </row>
    <row r="212" spans="1:16" ht="15.6" x14ac:dyDescent="0.3">
      <c r="A212" s="43" t="s">
        <v>212</v>
      </c>
      <c r="B212" s="22" t="s">
        <v>203</v>
      </c>
      <c r="C212" s="277">
        <f>'Households (ktoe)'!C171</f>
        <v>1.0043394474587133</v>
      </c>
      <c r="D212" s="277">
        <f>'Households (ktoe)'!D171</f>
        <v>1.0037917156567087</v>
      </c>
      <c r="E212" s="277">
        <f>'Households (ktoe)'!E171</f>
        <v>0.94572658933603815</v>
      </c>
      <c r="F212" s="277">
        <f>'Households (ktoe)'!F171</f>
        <v>0.98793773387198236</v>
      </c>
      <c r="G212" s="277">
        <f>'Households (ktoe)'!G171</f>
        <v>0.93904271092905633</v>
      </c>
      <c r="H212" s="277">
        <f>'Households (ktoe)'!H171</f>
        <v>0.96578107976654293</v>
      </c>
      <c r="I212" s="277">
        <f>'Households (ktoe)'!I171</f>
        <v>0.97389755611565576</v>
      </c>
      <c r="J212" s="277">
        <f>'Households (ktoe)'!J171</f>
        <v>0.98673864333232586</v>
      </c>
      <c r="K212" s="277">
        <f>'Households (ktoe)'!K171</f>
        <v>1.0145797661487732</v>
      </c>
      <c r="L212" s="277">
        <f>'Households (ktoe)'!L171</f>
        <v>1.0666781680147006</v>
      </c>
      <c r="M212" s="277">
        <f>'Households (ktoe)'!M171</f>
        <v>1.114071962958481</v>
      </c>
      <c r="N212" s="277">
        <f>'Households (ktoe)'!N171</f>
        <v>1.0003055083424677</v>
      </c>
      <c r="O212" s="34"/>
      <c r="P212" s="28"/>
    </row>
    <row r="213" spans="1:16" ht="15.6" x14ac:dyDescent="0.3">
      <c r="A213" s="43" t="s">
        <v>213</v>
      </c>
      <c r="B213" s="22" t="s">
        <v>203</v>
      </c>
      <c r="C213" s="277">
        <f>'SERVICE (ktoe)'!C76</f>
        <v>0.40150655573552713</v>
      </c>
      <c r="D213" s="277">
        <f>'SERVICE (ktoe)'!D76</f>
        <v>0.4214979968373373</v>
      </c>
      <c r="E213" s="277">
        <f>'SERVICE (ktoe)'!E76</f>
        <v>0.41640839438904897</v>
      </c>
      <c r="F213" s="277">
        <f>'SERVICE (ktoe)'!F76</f>
        <v>0.43374168279081826</v>
      </c>
      <c r="G213" s="277">
        <f>'SERVICE (ktoe)'!G76</f>
        <v>0.4755533217846899</v>
      </c>
      <c r="H213" s="277">
        <f>'SERVICE (ktoe)'!H76</f>
        <v>0.50624767421263683</v>
      </c>
      <c r="I213" s="277">
        <f>'SERVICE (ktoe)'!I76</f>
        <v>0.51319043775615913</v>
      </c>
      <c r="J213" s="277">
        <f>'SERVICE (ktoe)'!J76</f>
        <v>0.48265429337780907</v>
      </c>
      <c r="K213" s="277">
        <f>'SERVICE (ktoe)'!K76</f>
        <v>0.51420435214202875</v>
      </c>
      <c r="L213" s="277">
        <f>'SERVICE (ktoe)'!L76</f>
        <v>0.50154803958021799</v>
      </c>
      <c r="M213" s="277">
        <f>'SERVICE (ktoe)'!M76</f>
        <v>0.52159744135324659</v>
      </c>
      <c r="N213" s="277">
        <f>'SERVICE (ktoe)'!N76</f>
        <v>0.50804910671634651</v>
      </c>
      <c r="O213" s="34"/>
      <c r="P213" s="28"/>
    </row>
    <row r="214" spans="1:16" ht="15.6" x14ac:dyDescent="0.3">
      <c r="A214" s="39" t="s">
        <v>214</v>
      </c>
      <c r="B214" s="22" t="s">
        <v>203</v>
      </c>
      <c r="C214" s="206">
        <f>IFERROR(C200+C212+C213-C207-('SERVICE (ktoe)'!C19/1000),"")</f>
        <v>2.8110587045186812</v>
      </c>
      <c r="D214" s="206">
        <f>IFERROR(D200+D212+D213-D207-('SERVICE (ktoe)'!D19/1000),"")</f>
        <v>2.8900276224870542</v>
      </c>
      <c r="E214" s="206">
        <f>IFERROR(E200+E212+E213-E207-('SERVICE (ktoe)'!E19/1000),"")</f>
        <v>2.7885452764887164</v>
      </c>
      <c r="F214" s="206">
        <f>IFERROR(F200+F212+F213-F207-('SERVICE (ktoe)'!F19/1000),"")</f>
        <v>2.9496861137552002</v>
      </c>
      <c r="G214" s="206">
        <f>IFERROR(G200+G212+G213-G207-('SERVICE (ktoe)'!G19/1000),"")</f>
        <v>2.8501929532837829</v>
      </c>
      <c r="H214" s="206">
        <f>IFERROR(H200+H212+H213-H207-('SERVICE (ktoe)'!H19/1000),"")</f>
        <v>2.9316825144454022</v>
      </c>
      <c r="I214" s="206">
        <f>IFERROR(I200+I212+I213-I207-('SERVICE (ktoe)'!I19/1000),"")</f>
        <v>2.8219738255332274</v>
      </c>
      <c r="J214" s="206">
        <f>IFERROR(J200+J212+J213-J207-('SERVICE (ktoe)'!J19/1000),"")</f>
        <v>2.8925017218598228</v>
      </c>
      <c r="K214" s="206">
        <f>IFERROR(K200+K212+K213-K207-('SERVICE (ktoe)'!K19/1000),"")</f>
        <v>2.9498933186347402</v>
      </c>
      <c r="L214" s="206">
        <f>IFERROR(L200+L212+L213-L207-('SERVICE (ktoe)'!L19/1000),"")</f>
        <v>2.9797637839471252</v>
      </c>
      <c r="M214" s="206">
        <f>IFERROR(M200+M212+M213-M207-('SERVICE (ktoe)'!M19/1000),"")</f>
        <v>2.9824258770355261</v>
      </c>
      <c r="N214" s="206">
        <f>IFERROR(N200+N212+N213-N207-('SERVICE (ktoe)'!N19/1000),"")</f>
        <v>2.8075091005847534</v>
      </c>
      <c r="O214" s="34"/>
      <c r="P214" s="28"/>
    </row>
    <row r="215" spans="1:16" ht="15.6" x14ac:dyDescent="0.3">
      <c r="A215" s="39" t="s">
        <v>215</v>
      </c>
      <c r="B215" s="22" t="s">
        <v>203</v>
      </c>
      <c r="C215" s="206">
        <f>IFERROR(C199+C214-C200,"""")</f>
        <v>5.8453224529888343</v>
      </c>
      <c r="D215" s="206">
        <f t="shared" ref="D215:N215" si="30">IFERROR(D199+D214-D200,"""")</f>
        <v>5.8128171797721571</v>
      </c>
      <c r="E215" s="206">
        <f t="shared" si="30"/>
        <v>5.1966625465415568</v>
      </c>
      <c r="F215" s="206">
        <f t="shared" si="30"/>
        <v>5.9094001547984725</v>
      </c>
      <c r="G215" s="206">
        <f t="shared" si="30"/>
        <v>5.6079467540283545</v>
      </c>
      <c r="H215" s="206">
        <f t="shared" si="30"/>
        <v>4.9509576357601031</v>
      </c>
      <c r="I215" s="206">
        <f t="shared" si="30"/>
        <v>6.0367201711910088</v>
      </c>
      <c r="J215" s="206">
        <f t="shared" si="30"/>
        <v>5.9114489221883026</v>
      </c>
      <c r="K215" s="206">
        <f t="shared" si="30"/>
        <v>5.7458020331961421</v>
      </c>
      <c r="L215" s="206">
        <f t="shared" si="30"/>
        <v>4.8785098770728723</v>
      </c>
      <c r="M215" s="206">
        <f t="shared" si="30"/>
        <v>4.6851343895032818</v>
      </c>
      <c r="N215" s="206">
        <f t="shared" si="30"/>
        <v>4.5821053554810938</v>
      </c>
      <c r="O215" s="34"/>
      <c r="P215" s="28"/>
    </row>
    <row r="216" spans="1:16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ht="18" x14ac:dyDescent="0.3">
      <c r="A217" s="153" t="s">
        <v>216</v>
      </c>
      <c r="B217" s="15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x14ac:dyDescent="0.3">
      <c r="A218" s="39" t="s">
        <v>217</v>
      </c>
      <c r="B218" s="22" t="s">
        <v>218</v>
      </c>
      <c r="C218" s="249">
        <f>IFERROR(C199/C190*1000,"")</f>
        <v>0.33653039969408255</v>
      </c>
      <c r="D218" s="249">
        <f t="shared" ref="D218:N218" si="31">IFERROR(D199/D190*1000,"")</f>
        <v>0.30492221428614363</v>
      </c>
      <c r="E218" s="249">
        <f t="shared" si="31"/>
        <v>0.26979165494077395</v>
      </c>
      <c r="F218" s="249">
        <f t="shared" si="31"/>
        <v>0.29695799154431951</v>
      </c>
      <c r="G218" s="249">
        <f t="shared" si="31"/>
        <v>0.27345591221700155</v>
      </c>
      <c r="H218" s="249">
        <f t="shared" si="31"/>
        <v>0.23271944624142077</v>
      </c>
      <c r="I218" s="249">
        <f t="shared" si="31"/>
        <v>0.2809085596993231</v>
      </c>
      <c r="J218" s="249">
        <f t="shared" si="31"/>
        <v>0.2599701125516683</v>
      </c>
      <c r="K218" s="249">
        <f t="shared" si="31"/>
        <v>0.24172732642662764</v>
      </c>
      <c r="L218" s="249">
        <f t="shared" si="31"/>
        <v>0.19507899456820235</v>
      </c>
      <c r="M218" s="249">
        <f t="shared" si="31"/>
        <v>0.18524293842695413</v>
      </c>
      <c r="N218" s="249">
        <f t="shared" si="31"/>
        <v>0.17462134013333741</v>
      </c>
      <c r="O218" s="33"/>
      <c r="P218" s="33"/>
    </row>
    <row r="219" spans="1:16" x14ac:dyDescent="0.3">
      <c r="A219" s="39" t="s">
        <v>219</v>
      </c>
      <c r="B219" s="22" t="s">
        <v>218</v>
      </c>
      <c r="C219" s="249">
        <f>IFERROR(C215/C190*1000,"")</f>
        <v>0.33394591191563172</v>
      </c>
      <c r="D219" s="249">
        <f t="shared" ref="D219:N219" si="32">IFERROR(D215/D190*1000,"")</f>
        <v>0.30960246175904033</v>
      </c>
      <c r="E219" s="249">
        <f t="shared" si="32"/>
        <v>0.26812903981908021</v>
      </c>
      <c r="F219" s="249">
        <f t="shared" si="32"/>
        <v>0.30052025055042347</v>
      </c>
      <c r="G219" s="249">
        <f t="shared" si="32"/>
        <v>0.27685361147454357</v>
      </c>
      <c r="H219" s="249">
        <f t="shared" si="32"/>
        <v>0.23997196679624758</v>
      </c>
      <c r="I219" s="249">
        <f t="shared" si="32"/>
        <v>0.28364846874370414</v>
      </c>
      <c r="J219" s="249">
        <f t="shared" si="32"/>
        <v>0.26255485972473153</v>
      </c>
      <c r="K219" s="249">
        <f t="shared" si="32"/>
        <v>0.24589281653248121</v>
      </c>
      <c r="L219" s="249">
        <f t="shared" si="32"/>
        <v>0.20125035588766438</v>
      </c>
      <c r="M219" s="249">
        <f t="shared" si="32"/>
        <v>0.19434424241118001</v>
      </c>
      <c r="N219" s="249">
        <f t="shared" si="32"/>
        <v>0.17596951348279108</v>
      </c>
      <c r="O219" s="33"/>
      <c r="P219" s="33"/>
    </row>
    <row r="220" spans="1:16" x14ac:dyDescent="0.3">
      <c r="A220" s="39" t="s">
        <v>220</v>
      </c>
      <c r="B220" s="22" t="s">
        <v>218</v>
      </c>
      <c r="C220" s="249">
        <f>IFERROR(C200/C190*1000,"")</f>
        <v>0.16318154124790785</v>
      </c>
      <c r="D220" s="249">
        <f t="shared" ref="D220:N220" si="33">IFERROR(D200/D190*1000,"")</f>
        <v>0.14924849977676133</v>
      </c>
      <c r="E220" s="249">
        <f t="shared" si="33"/>
        <v>0.14554149137748371</v>
      </c>
      <c r="F220" s="249">
        <f t="shared" si="33"/>
        <v>0.14644288309465942</v>
      </c>
      <c r="G220" s="249">
        <f t="shared" si="33"/>
        <v>0.13731087860994334</v>
      </c>
      <c r="H220" s="249">
        <f t="shared" si="33"/>
        <v>0.13484556849610529</v>
      </c>
      <c r="I220" s="249">
        <f t="shared" si="33"/>
        <v>0.12985668840389675</v>
      </c>
      <c r="J220" s="249">
        <f t="shared" si="33"/>
        <v>0.12588466765786449</v>
      </c>
      <c r="K220" s="249">
        <f t="shared" si="33"/>
        <v>0.12207582005393255</v>
      </c>
      <c r="L220" s="249">
        <f t="shared" si="33"/>
        <v>0.11675111646392668</v>
      </c>
      <c r="M220" s="249">
        <f t="shared" si="33"/>
        <v>0.11461282018658994</v>
      </c>
      <c r="N220" s="249">
        <f t="shared" si="33"/>
        <v>0.10647038868719698</v>
      </c>
      <c r="O220" s="33"/>
      <c r="P220" s="33"/>
    </row>
    <row r="221" spans="1:16" x14ac:dyDescent="0.3">
      <c r="A221" s="39" t="s">
        <v>221</v>
      </c>
      <c r="B221" s="22" t="s">
        <v>218</v>
      </c>
      <c r="C221" s="249">
        <f>IFERROR(C214/C190*1000,"")</f>
        <v>0.16059705346945702</v>
      </c>
      <c r="D221" s="249">
        <f t="shared" ref="D221:N221" si="34">IFERROR(D214/D190*1000,"")</f>
        <v>0.15392874724965802</v>
      </c>
      <c r="E221" s="249">
        <f t="shared" si="34"/>
        <v>0.14387887625578996</v>
      </c>
      <c r="F221" s="249">
        <f t="shared" si="34"/>
        <v>0.15000514210076332</v>
      </c>
      <c r="G221" s="249">
        <f t="shared" si="34"/>
        <v>0.14070857786748533</v>
      </c>
      <c r="H221" s="249">
        <f t="shared" si="34"/>
        <v>0.14209808905093216</v>
      </c>
      <c r="I221" s="249">
        <f t="shared" si="34"/>
        <v>0.13259659744827779</v>
      </c>
      <c r="J221" s="249">
        <f t="shared" si="34"/>
        <v>0.12846941483092783</v>
      </c>
      <c r="K221" s="249">
        <f t="shared" si="34"/>
        <v>0.12624131015978621</v>
      </c>
      <c r="L221" s="249">
        <f t="shared" si="34"/>
        <v>0.1229224777833887</v>
      </c>
      <c r="M221" s="249">
        <f t="shared" si="34"/>
        <v>0.12371412417081586</v>
      </c>
      <c r="N221" s="249">
        <f t="shared" si="34"/>
        <v>0.10781856203665063</v>
      </c>
      <c r="O221" s="33"/>
      <c r="P221" s="33"/>
    </row>
    <row r="222" spans="1:16" x14ac:dyDescent="0.3">
      <c r="A222" s="39" t="s">
        <v>222</v>
      </c>
      <c r="B222" s="22" t="s">
        <v>103</v>
      </c>
      <c r="C222" s="38">
        <f>IFERROR(C220/C218,"")</f>
        <v>0.48489390972181223</v>
      </c>
      <c r="D222" s="38">
        <f t="shared" ref="D222:N222" si="35">IFERROR(D220/D218,"")</f>
        <v>0.48946417408836035</v>
      </c>
      <c r="E222" s="38">
        <f t="shared" si="35"/>
        <v>0.53945883318531007</v>
      </c>
      <c r="F222" s="38">
        <f t="shared" si="35"/>
        <v>0.49314343194836546</v>
      </c>
      <c r="G222" s="38">
        <f t="shared" si="35"/>
        <v>0.50213168732289093</v>
      </c>
      <c r="H222" s="38">
        <f t="shared" si="35"/>
        <v>0.57943403816893702</v>
      </c>
      <c r="I222" s="38">
        <f t="shared" si="35"/>
        <v>0.46227387496803879</v>
      </c>
      <c r="J222" s="38">
        <f t="shared" si="35"/>
        <v>0.48422746146576862</v>
      </c>
      <c r="K222" s="38">
        <f t="shared" si="35"/>
        <v>0.50501456272461054</v>
      </c>
      <c r="L222" s="38">
        <f t="shared" si="35"/>
        <v>0.59848122921870428</v>
      </c>
      <c r="M222" s="38">
        <f t="shared" si="35"/>
        <v>0.61871627150734609</v>
      </c>
      <c r="N222" s="38">
        <f t="shared" si="35"/>
        <v>0.60972151860647894</v>
      </c>
      <c r="O222" s="33"/>
      <c r="P222" s="33"/>
    </row>
    <row r="223" spans="1:16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</sheetData>
  <mergeCells count="7">
    <mergeCell ref="M2:N2"/>
    <mergeCell ref="A2:B2"/>
    <mergeCell ref="C2:D2"/>
    <mergeCell ref="E2:F2"/>
    <mergeCell ref="G2:H2"/>
    <mergeCell ref="I2:J2"/>
    <mergeCell ref="K2:L2"/>
  </mergeCells>
  <conditionalFormatting sqref="C10:N222">
    <cfRule type="containsBlanks" dxfId="1149" priority="1">
      <formula>LEN(TRIM(C10))=0</formula>
    </cfRule>
  </conditionalFormatting>
  <conditionalFormatting sqref="C177:N179">
    <cfRule type="containsBlanks" dxfId="1148" priority="57">
      <formula>LEN(TRIM(C177))=0</formula>
    </cfRule>
    <cfRule type="cellIs" dxfId="1147" priority="58" operator="between">
      <formula>-1000000000000000</formula>
      <formula>10000000000000</formula>
    </cfRule>
  </conditionalFormatting>
  <conditionalFormatting sqref="C183:N186">
    <cfRule type="containsBlanks" dxfId="1146" priority="63">
      <formula>LEN(TRIM(C183))=0</formula>
    </cfRule>
    <cfRule type="cellIs" dxfId="1145" priority="64" operator="between">
      <formula>-1000000000000000</formula>
      <formula>10000000000000</formula>
    </cfRule>
  </conditionalFormatting>
  <conditionalFormatting sqref="O15:O16 O20:O22 O24:O26 O83:O84 O94:O108 O113:O116 O129:O132">
    <cfRule type="expression" dxfId="1144" priority="539">
      <formula>AND(COUNT(K15:XEK15)&lt;&gt;0,(O15)="")</formula>
    </cfRule>
    <cfRule type="expression" dxfId="1143" priority="540">
      <formula>AND($AI15&lt;&gt;"",ISBLANK($E15:$AE15))</formula>
    </cfRule>
  </conditionalFormatting>
  <conditionalFormatting sqref="P30:P31 P35">
    <cfRule type="expression" dxfId="1142" priority="21">
      <formula>AND($AM30&lt;&gt;"",ISBLANK($E30:$AG30))</formula>
    </cfRule>
  </conditionalFormatting>
  <conditionalFormatting sqref="P30:P31">
    <cfRule type="expression" dxfId="1141" priority="20">
      <formula>AND(COUNT(J30:XEL30)&lt;&gt;0,(P30)="")</formula>
    </cfRule>
  </conditionalFormatting>
  <conditionalFormatting sqref="P35">
    <cfRule type="expression" dxfId="1140" priority="19">
      <formula>AND(COUNT(J35:XEL35)&lt;&gt;0,(P35)="")</formula>
    </cfRule>
  </conditionalFormatting>
  <dataValidations count="4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20:O22 O24:O26 O83:O84 O113:O116 O129:O132 O172 O167:O168 P35 P30:P31 P60:P73 P78:P90 P94:P108 P113:P125 P129:P141 P146:P158 P161" xr:uid="{B9F35495-0EE7-41CD-B21D-CDFA22EDE014}">
      <formula1>AND(LEN(O20)&lt;21,ISERROR(SEARCH("&amp;",O20))=TRUE,ISERROR(SEARCH(" ",O20))=TRUE,ISERROR(SEARCH("/",O20))=TRUE,ISERROR(SEARCH(";",O20))=TRUE,ISERROR(SEARCH("=",O20))=TRUE,ISERROR(SEARCH("'",O20))=TRUE)</formula1>
    </dataValidation>
    <dataValidation type="decimal" operator="greaterThanOrEqual" allowBlank="1" showInputMessage="1" showErrorMessage="1" error="Positive whole numbers only / Nombres entiers positifs uniquement" sqref="L161" xr:uid="{8B19BFC7-4A89-4D00-B167-E98BBE652AC3}">
      <formula1>0</formula1>
    </dataValidation>
    <dataValidation type="decimal" operator="greaterThan" allowBlank="1" showInputMessage="1" showErrorMessage="1" error="The value must be positive" sqref="C189:E189 O192:O195" xr:uid="{9121C99E-EEB7-412F-AE4F-5B14714D5F0C}">
      <formula1>0</formula1>
    </dataValidation>
    <dataValidation type="custom" operator="lessThanOrEqual" showInputMessage="1" showErrorMessage="1" error="Invalid source name, please refer to the guidelines" sqref="O3" xr:uid="{9DB47D95-1ED8-4DB8-93CF-571459518846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hyperlinks>
    <hyperlink ref="P168" r:id="rId1" xr:uid="{F4A2451F-A106-4FF1-B957-85CEDBB8432F}"/>
    <hyperlink ref="P167" r:id="rId2" xr:uid="{8CEFC772-5D6D-4B38-AFAC-41AA706E38D3}"/>
  </hyperlinks>
  <pageMargins left="0.7" right="0.7" top="0.75" bottom="0.75" header="0.3" footer="0.3"/>
  <pageSetup paperSize="9" orientation="portrait" r:id="rId3"/>
  <ignoredErrors>
    <ignoredError sqref="C199:N199 C204:N209 C201:N201 C200:M200 C2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FF0A-D894-49A3-8747-33132DD06604}">
  <sheetPr>
    <tabColor rgb="FF00B0F0"/>
  </sheetPr>
  <dimension ref="A2:P223"/>
  <sheetViews>
    <sheetView zoomScaleNormal="100" workbookViewId="0">
      <pane xSplit="2" ySplit="3" topLeftCell="I44" activePane="bottomRight" state="frozen"/>
      <selection pane="topRight" activeCell="C1" sqref="C1"/>
      <selection pane="bottomLeft" activeCell="A4" sqref="A4"/>
      <selection pane="bottomRight" activeCell="N61" sqref="N61"/>
    </sheetView>
  </sheetViews>
  <sheetFormatPr defaultRowHeight="14.4" x14ac:dyDescent="0.3"/>
  <cols>
    <col min="1" max="1" width="55" customWidth="1"/>
    <col min="2" max="2" width="14.88671875" customWidth="1"/>
    <col min="3" max="3" width="10.109375" bestFit="1" customWidth="1"/>
    <col min="4" max="4" width="9.109375" bestFit="1" customWidth="1"/>
    <col min="15" max="15" width="12.6640625" customWidth="1"/>
    <col min="16" max="16" width="33.6640625" customWidth="1"/>
  </cols>
  <sheetData>
    <row r="2" spans="1:16" ht="25.8" x14ac:dyDescent="0.3">
      <c r="A2" s="428" t="s">
        <v>54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6"/>
      <c r="P2" s="46"/>
    </row>
    <row r="3" spans="1:16" x14ac:dyDescent="0.3">
      <c r="A3" s="1" t="s">
        <v>55</v>
      </c>
      <c r="B3" s="1" t="s">
        <v>56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  <c r="O3" s="1" t="s">
        <v>57</v>
      </c>
      <c r="P3" s="1" t="s">
        <v>58</v>
      </c>
    </row>
    <row r="4" spans="1:16" ht="15.6" x14ac:dyDescent="0.3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x14ac:dyDescent="0.3">
      <c r="A5" s="2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9"/>
    </row>
    <row r="6" spans="1:16" ht="15.6" x14ac:dyDescent="0.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x14ac:dyDescent="0.3">
      <c r="A7" s="2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/>
      <c r="P7" s="9"/>
    </row>
    <row r="8" spans="1:16" ht="15.6" x14ac:dyDescent="0.3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.6" x14ac:dyDescent="0.3">
      <c r="A9" s="8" t="s">
        <v>61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">
      <c r="A10" s="12" t="s">
        <v>62</v>
      </c>
      <c r="B10" s="22" t="s">
        <v>63</v>
      </c>
      <c r="C10" s="17">
        <v>14741.1</v>
      </c>
      <c r="D10" s="17">
        <v>16677.3</v>
      </c>
      <c r="E10" s="17">
        <v>17916.7</v>
      </c>
      <c r="F10" s="17">
        <v>18910.8</v>
      </c>
      <c r="G10" s="17">
        <v>20048.2</v>
      </c>
      <c r="H10" s="17">
        <v>20631.400000000001</v>
      </c>
      <c r="I10" s="17">
        <v>21747.9</v>
      </c>
      <c r="J10" s="17">
        <v>23833.599999999999</v>
      </c>
      <c r="K10" s="17">
        <v>25932.2</v>
      </c>
      <c r="L10" s="17">
        <v>27764.7</v>
      </c>
      <c r="M10" s="17">
        <v>27465</v>
      </c>
      <c r="N10" s="17">
        <v>31444.9</v>
      </c>
      <c r="O10" s="14" t="s">
        <v>8</v>
      </c>
      <c r="P10" s="18" t="s">
        <v>64</v>
      </c>
    </row>
    <row r="11" spans="1:16" x14ac:dyDescent="0.3">
      <c r="A11" s="12" t="s">
        <v>65</v>
      </c>
      <c r="B11" s="22" t="s">
        <v>66</v>
      </c>
      <c r="C11" s="17">
        <v>17503.8</v>
      </c>
      <c r="D11" s="17">
        <v>18775.099999999999</v>
      </c>
      <c r="E11" s="17">
        <v>19381.2</v>
      </c>
      <c r="F11" s="17">
        <v>19663.900000000001</v>
      </c>
      <c r="G11" s="17">
        <v>20256</v>
      </c>
      <c r="H11" s="17">
        <v>20631.400000000001</v>
      </c>
      <c r="I11" s="17">
        <v>21282.400000000001</v>
      </c>
      <c r="J11" s="17">
        <v>22515.1</v>
      </c>
      <c r="K11" s="17">
        <v>23367.1</v>
      </c>
      <c r="L11" s="17">
        <v>24241</v>
      </c>
      <c r="M11" s="17">
        <v>24107.4</v>
      </c>
      <c r="N11" s="17">
        <v>26039.200000000001</v>
      </c>
      <c r="O11" s="14" t="s">
        <v>8</v>
      </c>
      <c r="P11" s="18" t="s">
        <v>64</v>
      </c>
    </row>
    <row r="12" spans="1:16" x14ac:dyDescent="0.3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6" x14ac:dyDescent="0.3">
      <c r="A13" s="8" t="s">
        <v>67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.6" x14ac:dyDescent="0.3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3">
      <c r="A15" s="12" t="s">
        <v>68</v>
      </c>
      <c r="B15" s="22" t="s">
        <v>69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8" t="s">
        <v>12</v>
      </c>
      <c r="P15" s="393" t="s">
        <v>223</v>
      </c>
    </row>
    <row r="16" spans="1:16" x14ac:dyDescent="0.3">
      <c r="A16" s="12" t="s">
        <v>70</v>
      </c>
      <c r="B16" s="22" t="s">
        <v>69</v>
      </c>
      <c r="C16" s="15">
        <v>0.68641799999999997</v>
      </c>
      <c r="D16" s="15">
        <v>0.69467400000000001</v>
      </c>
      <c r="E16" s="15">
        <v>0.69438200000000005</v>
      </c>
      <c r="F16" s="15">
        <v>0.71950700000000001</v>
      </c>
      <c r="G16" s="15">
        <v>0.72523800000000005</v>
      </c>
      <c r="H16" s="15">
        <v>0.72799999999999998</v>
      </c>
      <c r="I16" s="15">
        <v>0.753</v>
      </c>
      <c r="J16" s="16">
        <v>0.76999799999999996</v>
      </c>
      <c r="K16" s="16">
        <v>0.79599600000000004</v>
      </c>
      <c r="L16" s="16">
        <v>0.82092799999999999</v>
      </c>
      <c r="M16" s="16">
        <v>0.82353299999999996</v>
      </c>
      <c r="N16" s="16">
        <v>0.84353299999999998</v>
      </c>
      <c r="O16" s="18" t="s">
        <v>12</v>
      </c>
      <c r="P16" s="393" t="s">
        <v>223</v>
      </c>
    </row>
    <row r="17" spans="1:16" x14ac:dyDescent="0.3">
      <c r="A17" s="10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6" x14ac:dyDescent="0.3">
      <c r="A18" s="8" t="s">
        <v>71</v>
      </c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6" x14ac:dyDescent="0.3">
      <c r="A19" s="8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A20" s="12" t="s">
        <v>72</v>
      </c>
      <c r="B20" s="22" t="s">
        <v>63</v>
      </c>
      <c r="C20" s="17">
        <v>411.05509999999998</v>
      </c>
      <c r="D20" s="17">
        <v>613.70050000000003</v>
      </c>
      <c r="E20" s="17">
        <v>594.02120000000002</v>
      </c>
      <c r="F20" s="17">
        <v>583.98590000000002</v>
      </c>
      <c r="G20" s="17">
        <v>634.38019999999995</v>
      </c>
      <c r="H20" s="17">
        <v>589.65409999999997</v>
      </c>
      <c r="I20" s="17">
        <v>459.7</v>
      </c>
      <c r="J20" s="17">
        <v>568.70000000000005</v>
      </c>
      <c r="K20" s="17">
        <v>541.79999999999995</v>
      </c>
      <c r="L20" s="17">
        <v>659.9</v>
      </c>
      <c r="M20" s="17">
        <v>563.1</v>
      </c>
      <c r="N20" s="17">
        <v>635.4</v>
      </c>
      <c r="O20" s="18" t="s">
        <v>8</v>
      </c>
      <c r="P20" s="18" t="s">
        <v>73</v>
      </c>
    </row>
    <row r="21" spans="1:16" x14ac:dyDescent="0.3">
      <c r="A21" s="12" t="s">
        <v>74</v>
      </c>
      <c r="B21" s="22" t="s">
        <v>63</v>
      </c>
      <c r="C21" s="17">
        <v>3601.1526000000003</v>
      </c>
      <c r="D21" s="17">
        <v>4289.7894999999999</v>
      </c>
      <c r="E21" s="17">
        <v>4526.9001999999991</v>
      </c>
      <c r="F21" s="17">
        <v>4793.8828999999996</v>
      </c>
      <c r="G21" s="17">
        <v>4966.4763999999996</v>
      </c>
      <c r="H21" s="17">
        <v>4923.3197</v>
      </c>
      <c r="I21" s="17">
        <v>5229.7999999999993</v>
      </c>
      <c r="J21" s="17">
        <v>5719.7999999999993</v>
      </c>
      <c r="K21" s="17">
        <v>6230.0000000000009</v>
      </c>
      <c r="L21" s="17">
        <v>6371.8</v>
      </c>
      <c r="M21" s="17">
        <v>6256.4000000000005</v>
      </c>
      <c r="N21" s="17">
        <v>7265.8</v>
      </c>
      <c r="O21" s="18" t="s">
        <v>8</v>
      </c>
      <c r="P21" s="18" t="s">
        <v>73</v>
      </c>
    </row>
    <row r="22" spans="1:16" x14ac:dyDescent="0.3">
      <c r="A22" s="12" t="s">
        <v>75</v>
      </c>
      <c r="B22" s="22" t="s">
        <v>63</v>
      </c>
      <c r="C22" s="17">
        <v>8948.4338000000007</v>
      </c>
      <c r="D22" s="17">
        <v>9865.3427000000011</v>
      </c>
      <c r="E22" s="17">
        <v>10661.891000000001</v>
      </c>
      <c r="F22" s="17">
        <v>11303.986999999996</v>
      </c>
      <c r="G22" s="17">
        <v>12002.619099999998</v>
      </c>
      <c r="H22" s="17">
        <v>12377.5</v>
      </c>
      <c r="I22" s="17">
        <v>13056.199999999997</v>
      </c>
      <c r="J22" s="17">
        <v>14387.6</v>
      </c>
      <c r="K22" s="17">
        <v>15786.5</v>
      </c>
      <c r="L22" s="17">
        <v>17088.399999999998</v>
      </c>
      <c r="M22" s="17">
        <v>17296.099999999995</v>
      </c>
      <c r="N22" s="17">
        <v>19665</v>
      </c>
      <c r="O22" s="18" t="s">
        <v>8</v>
      </c>
      <c r="P22" s="18" t="s">
        <v>73</v>
      </c>
    </row>
    <row r="23" spans="1:16" x14ac:dyDescent="0.3">
      <c r="A23" s="42"/>
      <c r="B23" s="22"/>
      <c r="C23" s="19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21"/>
      <c r="O23" s="20"/>
      <c r="P23" s="18"/>
    </row>
    <row r="24" spans="1:16" x14ac:dyDescent="0.3">
      <c r="A24" s="12" t="s">
        <v>76</v>
      </c>
      <c r="B24" s="22" t="s">
        <v>66</v>
      </c>
      <c r="C24" s="17">
        <v>488.42020000000002</v>
      </c>
      <c r="D24" s="17">
        <v>528.93209999999999</v>
      </c>
      <c r="E24" s="17">
        <v>537.70719999999994</v>
      </c>
      <c r="F24" s="17">
        <v>511.03399999999999</v>
      </c>
      <c r="G24" s="17">
        <v>573.68020000000001</v>
      </c>
      <c r="H24" s="17">
        <v>589.70000000000005</v>
      </c>
      <c r="I24" s="17">
        <v>449.4</v>
      </c>
      <c r="J24" s="17">
        <v>480.1</v>
      </c>
      <c r="K24" s="17">
        <v>429.8</v>
      </c>
      <c r="L24" s="17">
        <v>583.29999999999995</v>
      </c>
      <c r="M24" s="17">
        <v>581.5</v>
      </c>
      <c r="N24" s="17">
        <v>490.6</v>
      </c>
      <c r="O24" s="18" t="s">
        <v>8</v>
      </c>
      <c r="P24" s="18" t="s">
        <v>73</v>
      </c>
    </row>
    <row r="25" spans="1:16" x14ac:dyDescent="0.3">
      <c r="A25" s="12" t="s">
        <v>77</v>
      </c>
      <c r="B25" s="22" t="s">
        <v>66</v>
      </c>
      <c r="C25" s="17">
        <v>3964.5989999999997</v>
      </c>
      <c r="D25" s="17">
        <v>4573.6727000000001</v>
      </c>
      <c r="E25" s="17">
        <v>4698.7450000000008</v>
      </c>
      <c r="F25" s="17">
        <v>4781.5433999999996</v>
      </c>
      <c r="G25" s="17">
        <v>4910.4049999999997</v>
      </c>
      <c r="H25" s="17">
        <v>4923.3197</v>
      </c>
      <c r="I25" s="17">
        <v>5227.2</v>
      </c>
      <c r="J25" s="17">
        <v>5566.1</v>
      </c>
      <c r="K25" s="17">
        <v>5834.5</v>
      </c>
      <c r="L25" s="17">
        <v>5669.5999999999995</v>
      </c>
      <c r="M25" s="17">
        <v>5608.2000000000007</v>
      </c>
      <c r="N25" s="17">
        <v>6026.4</v>
      </c>
      <c r="O25" s="18" t="s">
        <v>8</v>
      </c>
      <c r="P25" s="18" t="s">
        <v>73</v>
      </c>
    </row>
    <row r="26" spans="1:16" x14ac:dyDescent="0.3">
      <c r="A26" s="12" t="s">
        <v>78</v>
      </c>
      <c r="B26" s="22" t="s">
        <v>66</v>
      </c>
      <c r="C26" s="17">
        <v>10981.1</v>
      </c>
      <c r="D26" s="17">
        <v>11390.9</v>
      </c>
      <c r="E26" s="17">
        <v>11687.6</v>
      </c>
      <c r="F26" s="17">
        <v>11835.7</v>
      </c>
      <c r="G26" s="17">
        <v>12106.7</v>
      </c>
      <c r="H26" s="17">
        <v>12377.5</v>
      </c>
      <c r="I26" s="17">
        <v>12733.2</v>
      </c>
      <c r="J26" s="17">
        <v>13608.1</v>
      </c>
      <c r="K26" s="17">
        <v>14223.2</v>
      </c>
      <c r="L26" s="17">
        <v>14917.499999999996</v>
      </c>
      <c r="M26" s="17">
        <v>14952</v>
      </c>
      <c r="N26" s="17">
        <v>16239.800000000001</v>
      </c>
      <c r="O26" s="18" t="s">
        <v>8</v>
      </c>
      <c r="P26" s="18" t="s">
        <v>73</v>
      </c>
    </row>
    <row r="27" spans="1:16" x14ac:dyDescent="0.3">
      <c r="A27" s="10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3"/>
    </row>
    <row r="28" spans="1:16" ht="15.6" x14ac:dyDescent="0.3">
      <c r="A28" s="8" t="s">
        <v>79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3"/>
    </row>
    <row r="29" spans="1:16" ht="15.6" x14ac:dyDescent="0.3">
      <c r="A29" s="8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3"/>
    </row>
    <row r="30" spans="1:16" x14ac:dyDescent="0.3">
      <c r="A30" s="12" t="s">
        <v>80</v>
      </c>
      <c r="B30" s="22" t="s">
        <v>63</v>
      </c>
      <c r="C30" s="17">
        <v>7943.0469999999996</v>
      </c>
      <c r="D30" s="17">
        <v>8609.0694999999996</v>
      </c>
      <c r="E30" s="17">
        <v>9377.1087000000007</v>
      </c>
      <c r="F30" s="17">
        <v>10020.5933</v>
      </c>
      <c r="G30" s="17">
        <v>10488.3693</v>
      </c>
      <c r="H30" s="17">
        <v>10772.8</v>
      </c>
      <c r="I30" s="17">
        <v>11259</v>
      </c>
      <c r="J30" s="17">
        <v>12024.9</v>
      </c>
      <c r="K30" s="17">
        <v>12929.8</v>
      </c>
      <c r="L30" s="17">
        <v>13726.7</v>
      </c>
      <c r="M30" s="17">
        <v>13204.5</v>
      </c>
      <c r="N30" s="17">
        <v>14625.5</v>
      </c>
      <c r="O30" s="14" t="s">
        <v>8</v>
      </c>
      <c r="P30" s="18" t="s">
        <v>81</v>
      </c>
    </row>
    <row r="31" spans="1:16" x14ac:dyDescent="0.3">
      <c r="A31" s="12" t="s">
        <v>82</v>
      </c>
      <c r="B31" s="22" t="s">
        <v>66</v>
      </c>
      <c r="C31" s="17">
        <v>8971.7525000000005</v>
      </c>
      <c r="D31" s="17">
        <v>9255.2047000000002</v>
      </c>
      <c r="E31" s="17">
        <v>9676.0995000000003</v>
      </c>
      <c r="F31" s="17">
        <v>10042.1124</v>
      </c>
      <c r="G31" s="17">
        <v>10438.3302</v>
      </c>
      <c r="H31" s="17">
        <v>10772.8</v>
      </c>
      <c r="I31" s="17">
        <v>11140.9</v>
      </c>
      <c r="J31" s="17">
        <v>11376.7</v>
      </c>
      <c r="K31" s="17">
        <v>11789.9</v>
      </c>
      <c r="L31" s="17">
        <v>12201.8</v>
      </c>
      <c r="M31" s="17">
        <v>11842.2</v>
      </c>
      <c r="N31" s="17">
        <v>12585.7</v>
      </c>
      <c r="O31" s="14" t="s">
        <v>8</v>
      </c>
      <c r="P31" s="18" t="s">
        <v>81</v>
      </c>
    </row>
    <row r="32" spans="1:16" x14ac:dyDescent="0.3">
      <c r="A32" s="10"/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8"/>
    </row>
    <row r="33" spans="1:16" ht="15.6" x14ac:dyDescent="0.3">
      <c r="A33" s="8" t="s">
        <v>83</v>
      </c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18"/>
    </row>
    <row r="34" spans="1:16" ht="15.6" x14ac:dyDescent="0.3">
      <c r="A34" s="8"/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8"/>
    </row>
    <row r="35" spans="1:16" x14ac:dyDescent="0.3">
      <c r="A35" s="12" t="s">
        <v>83</v>
      </c>
      <c r="B35" s="22" t="s">
        <v>84</v>
      </c>
      <c r="C35" s="17">
        <v>1333.29</v>
      </c>
      <c r="D35" s="17">
        <v>1329.66</v>
      </c>
      <c r="E35" s="17">
        <v>1325.2170000000001</v>
      </c>
      <c r="F35" s="17">
        <v>1320.174</v>
      </c>
      <c r="G35" s="17">
        <v>1315.819</v>
      </c>
      <c r="H35" s="17">
        <v>1313.271</v>
      </c>
      <c r="I35" s="17">
        <v>1315.944</v>
      </c>
      <c r="J35" s="17">
        <v>1315.635</v>
      </c>
      <c r="K35" s="17">
        <v>1319.133</v>
      </c>
      <c r="L35" s="17">
        <v>1324.82</v>
      </c>
      <c r="M35" s="17">
        <v>1328.8889999999999</v>
      </c>
      <c r="N35" s="17">
        <v>1330.068</v>
      </c>
      <c r="O35" s="14" t="s">
        <v>8</v>
      </c>
      <c r="P35" s="18" t="s">
        <v>85</v>
      </c>
    </row>
    <row r="36" spans="1:16" ht="15.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3"/>
    </row>
    <row r="37" spans="1:16" ht="18" x14ac:dyDescent="0.3">
      <c r="A37" s="2" t="s">
        <v>86</v>
      </c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5.6" x14ac:dyDescent="0.3">
      <c r="A38" s="8"/>
      <c r="B38" s="13"/>
      <c r="C38" s="13"/>
      <c r="D38" s="28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3">
      <c r="A39" s="12" t="s">
        <v>87</v>
      </c>
      <c r="B39" s="22" t="s">
        <v>224</v>
      </c>
      <c r="C39" s="17">
        <v>6579.1666666666652</v>
      </c>
      <c r="D39" s="17">
        <v>6151.3888888888869</v>
      </c>
      <c r="E39" s="17">
        <v>5919.7222222222217</v>
      </c>
      <c r="F39" s="17">
        <v>5432.5</v>
      </c>
      <c r="G39" s="17">
        <v>4763.6111111111122</v>
      </c>
      <c r="H39" s="17">
        <v>3287.5000000000005</v>
      </c>
      <c r="I39" s="17">
        <v>4803.6111111111104</v>
      </c>
      <c r="J39" s="17">
        <v>1877.2222222222226</v>
      </c>
      <c r="K39" s="17">
        <v>805.27777777777862</v>
      </c>
      <c r="L39" s="17">
        <v>-207.77777777778024</v>
      </c>
      <c r="M39" s="17">
        <v>-519.72222222222183</v>
      </c>
      <c r="N39" s="17">
        <v>-1550.0000000000005</v>
      </c>
      <c r="O39" s="14" t="s">
        <v>8</v>
      </c>
      <c r="P39" s="18" t="s">
        <v>89</v>
      </c>
    </row>
    <row r="40" spans="1:16" x14ac:dyDescent="0.3">
      <c r="A40" s="12" t="s">
        <v>90</v>
      </c>
      <c r="B40" s="22" t="s">
        <v>224</v>
      </c>
      <c r="C40" s="17">
        <v>48705.277777777788</v>
      </c>
      <c r="D40" s="17">
        <v>48413.888888888891</v>
      </c>
      <c r="E40" s="17">
        <v>40770.555555555555</v>
      </c>
      <c r="F40" s="17">
        <v>49714.722222222219</v>
      </c>
      <c r="G40" s="17">
        <v>47363.611111111109</v>
      </c>
      <c r="H40" s="17">
        <v>38075.833333333336</v>
      </c>
      <c r="I40" s="17">
        <v>50139.166666666664</v>
      </c>
      <c r="J40" s="17">
        <v>51698.611111111109</v>
      </c>
      <c r="K40" s="17">
        <v>48527.777777777759</v>
      </c>
      <c r="L40" s="17">
        <v>34908.055555555555</v>
      </c>
      <c r="M40" s="17">
        <v>29525.277777777777</v>
      </c>
      <c r="N40" s="17">
        <v>32070.833333333336</v>
      </c>
      <c r="O40" s="14" t="s">
        <v>8</v>
      </c>
      <c r="P40" s="18" t="s">
        <v>89</v>
      </c>
    </row>
    <row r="41" spans="1:16" x14ac:dyDescent="0.3">
      <c r="A41" s="12" t="s">
        <v>91</v>
      </c>
      <c r="B41" s="22" t="s">
        <v>224</v>
      </c>
      <c r="C41" s="17">
        <v>6542.0029299999997</v>
      </c>
      <c r="D41" s="17">
        <v>5853.2510699999993</v>
      </c>
      <c r="E41" s="17">
        <v>6343.0019999999995</v>
      </c>
      <c r="F41" s="17">
        <v>6453.4986299999991</v>
      </c>
      <c r="G41" s="17">
        <v>5065.5046500000008</v>
      </c>
      <c r="H41" s="17">
        <v>4541.0032799999999</v>
      </c>
      <c r="I41" s="17">
        <v>4980.74521</v>
      </c>
      <c r="J41" s="17">
        <v>4721.3888888888887</v>
      </c>
      <c r="K41" s="17">
        <v>4809.0050000000001</v>
      </c>
      <c r="L41" s="17">
        <v>4423.8888888888887</v>
      </c>
      <c r="M41" s="17">
        <v>4048.8888888888887</v>
      </c>
      <c r="N41" s="17">
        <v>4584.7222222222217</v>
      </c>
      <c r="O41" s="14" t="s">
        <v>8</v>
      </c>
      <c r="P41" s="18" t="s">
        <v>89</v>
      </c>
    </row>
    <row r="42" spans="1:16" x14ac:dyDescent="0.3">
      <c r="A42" s="12" t="s">
        <v>92</v>
      </c>
      <c r="B42" s="22" t="s">
        <v>224</v>
      </c>
      <c r="C42" s="17">
        <v>9630.8333333333339</v>
      </c>
      <c r="D42" s="17">
        <v>9325.8333333333339</v>
      </c>
      <c r="E42" s="17">
        <v>9543.0555555555547</v>
      </c>
      <c r="F42" s="17">
        <v>9344.1666666666679</v>
      </c>
      <c r="G42" s="17">
        <v>9350.5555555555547</v>
      </c>
      <c r="H42" s="17">
        <v>9781.6666666666661</v>
      </c>
      <c r="I42" s="17">
        <v>10670.555555555555</v>
      </c>
      <c r="J42" s="17">
        <v>11400.277777777777</v>
      </c>
      <c r="K42" s="17">
        <v>12404.722222222219</v>
      </c>
      <c r="L42" s="17">
        <v>12617.777777777779</v>
      </c>
      <c r="M42" s="17">
        <v>13882.777777777776</v>
      </c>
      <c r="N42" s="17">
        <v>13777.500000000002</v>
      </c>
      <c r="O42" s="14" t="s">
        <v>8</v>
      </c>
      <c r="P42" s="18" t="s">
        <v>89</v>
      </c>
    </row>
    <row r="43" spans="1:16" x14ac:dyDescent="0.3">
      <c r="A43" s="12" t="s">
        <v>93</v>
      </c>
      <c r="B43" s="22" t="s">
        <v>224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4" t="s">
        <v>8</v>
      </c>
      <c r="P43" s="18" t="s">
        <v>89</v>
      </c>
    </row>
    <row r="44" spans="1:16" x14ac:dyDescent="0.3">
      <c r="A44" s="12" t="s">
        <v>94</v>
      </c>
      <c r="B44" s="22" t="s">
        <v>224</v>
      </c>
      <c r="C44" s="17">
        <v>26.944444444444443</v>
      </c>
      <c r="D44" s="17">
        <v>29.999999999999996</v>
      </c>
      <c r="E44" s="17">
        <v>0</v>
      </c>
      <c r="F44" s="17">
        <v>25.555555555555554</v>
      </c>
      <c r="G44" s="17">
        <v>26.944444444444443</v>
      </c>
      <c r="H44" s="17">
        <v>26.666666666666664</v>
      </c>
      <c r="I44" s="17">
        <v>35</v>
      </c>
      <c r="J44" s="17">
        <v>26.111111111111114</v>
      </c>
      <c r="K44" s="17">
        <v>14.999999999999998</v>
      </c>
      <c r="L44" s="17">
        <v>18.888888888888889</v>
      </c>
      <c r="M44" s="17">
        <v>29.999999999999996</v>
      </c>
      <c r="N44" s="17">
        <v>23.055555555555554</v>
      </c>
      <c r="O44" s="14" t="s">
        <v>8</v>
      </c>
      <c r="P44" s="18" t="s">
        <v>89</v>
      </c>
    </row>
    <row r="45" spans="1:16" x14ac:dyDescent="0.3">
      <c r="A45" s="12" t="s">
        <v>95</v>
      </c>
      <c r="B45" s="22" t="s">
        <v>224</v>
      </c>
      <c r="C45" s="17">
        <v>276.99171000000001</v>
      </c>
      <c r="D45" s="17">
        <v>368.65937000000002</v>
      </c>
      <c r="E45" s="17">
        <v>433.51988000000006</v>
      </c>
      <c r="F45" s="17">
        <v>529.03706999999997</v>
      </c>
      <c r="G45" s="17">
        <v>603.67840999999999</v>
      </c>
      <c r="H45" s="17">
        <v>715.0007700000001</v>
      </c>
      <c r="I45" s="17">
        <v>594.00225</v>
      </c>
      <c r="J45" s="17">
        <v>723.00220999999999</v>
      </c>
      <c r="K45" s="17">
        <v>635.99818000000005</v>
      </c>
      <c r="L45" s="17">
        <v>687.00000000000011</v>
      </c>
      <c r="M45" s="17">
        <v>843.88888888888891</v>
      </c>
      <c r="N45" s="17">
        <v>733.05555555555554</v>
      </c>
      <c r="O45" s="14" t="s">
        <v>8</v>
      </c>
      <c r="P45" s="18" t="s">
        <v>89</v>
      </c>
    </row>
    <row r="46" spans="1:16" x14ac:dyDescent="0.3">
      <c r="A46" s="12" t="s">
        <v>96</v>
      </c>
      <c r="B46" s="22" t="s">
        <v>224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9.6770000000000014</v>
      </c>
      <c r="J46" s="17">
        <v>14.492000000000001</v>
      </c>
      <c r="K46" s="17">
        <v>30.833333333333332</v>
      </c>
      <c r="L46" s="17">
        <v>73.611111111111114</v>
      </c>
      <c r="M46" s="17">
        <v>122.5</v>
      </c>
      <c r="N46" s="17">
        <v>353.61111111111109</v>
      </c>
      <c r="O46" s="14" t="s">
        <v>8</v>
      </c>
      <c r="P46" s="18" t="s">
        <v>89</v>
      </c>
    </row>
    <row r="47" spans="1:16" x14ac:dyDescent="0.3">
      <c r="A47" s="12" t="s">
        <v>97</v>
      </c>
      <c r="B47" s="22" t="s">
        <v>224</v>
      </c>
      <c r="C47" s="17">
        <v>-3254</v>
      </c>
      <c r="D47" s="17">
        <v>-3562</v>
      </c>
      <c r="E47" s="17">
        <v>-2240</v>
      </c>
      <c r="F47" s="17">
        <v>-3588</v>
      </c>
      <c r="G47" s="17">
        <v>-2754</v>
      </c>
      <c r="H47" s="17">
        <v>-925</v>
      </c>
      <c r="I47" s="17">
        <v>-2037</v>
      </c>
      <c r="J47" s="17">
        <v>-2734.0036599999999</v>
      </c>
      <c r="K47" s="17">
        <v>-1897.0041900000001</v>
      </c>
      <c r="L47" s="17">
        <v>2157</v>
      </c>
      <c r="M47" s="17">
        <v>3643.8888888888882</v>
      </c>
      <c r="N47" s="17">
        <v>2629.1666666666665</v>
      </c>
      <c r="O47" s="14" t="s">
        <v>8</v>
      </c>
      <c r="P47" s="18" t="s">
        <v>89</v>
      </c>
    </row>
    <row r="48" spans="1:16" x14ac:dyDescent="0.3">
      <c r="A48" s="12" t="s">
        <v>98</v>
      </c>
      <c r="B48" s="22" t="s">
        <v>224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4" t="s">
        <v>8</v>
      </c>
      <c r="P48" s="18" t="s">
        <v>89</v>
      </c>
    </row>
    <row r="49" spans="1:16" x14ac:dyDescent="0.3">
      <c r="A49" s="12" t="s">
        <v>99</v>
      </c>
      <c r="B49" s="22" t="s">
        <v>224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336.66666666666669</v>
      </c>
      <c r="I49" s="17">
        <v>333.05555555555554</v>
      </c>
      <c r="J49" s="17">
        <v>346.11111111111109</v>
      </c>
      <c r="K49" s="17">
        <v>358.61111111111109</v>
      </c>
      <c r="L49" s="17">
        <v>318.88888888888886</v>
      </c>
      <c r="M49" s="17">
        <v>358.88888888888886</v>
      </c>
      <c r="N49" s="17">
        <v>262.77777777777777</v>
      </c>
      <c r="O49" s="14" t="s">
        <v>8</v>
      </c>
      <c r="P49" s="18" t="s">
        <v>89</v>
      </c>
    </row>
    <row r="50" spans="1:16" x14ac:dyDescent="0.3">
      <c r="A50" s="12" t="s">
        <v>100</v>
      </c>
      <c r="B50" s="22" t="s">
        <v>224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4" t="s">
        <v>8</v>
      </c>
      <c r="P50" s="18" t="s">
        <v>89</v>
      </c>
    </row>
    <row r="51" spans="1:16" x14ac:dyDescent="0.3">
      <c r="A51" s="23" t="s">
        <v>101</v>
      </c>
      <c r="B51" s="22" t="s">
        <v>224</v>
      </c>
      <c r="C51" s="17">
        <v>68507.222222222234</v>
      </c>
      <c r="D51" s="17">
        <v>66581.111111111109</v>
      </c>
      <c r="E51" s="17">
        <v>60811.944444444438</v>
      </c>
      <c r="F51" s="17">
        <v>67911.666666666642</v>
      </c>
      <c r="G51" s="17">
        <v>64420</v>
      </c>
      <c r="H51" s="17">
        <v>55839.444444444445</v>
      </c>
      <c r="I51" s="17">
        <v>69528.888888888891</v>
      </c>
      <c r="J51" s="17">
        <v>68073.333333333328</v>
      </c>
      <c r="K51" s="17">
        <v>65691.666666666642</v>
      </c>
      <c r="L51" s="17">
        <v>54997.222222222234</v>
      </c>
      <c r="M51" s="17">
        <v>51936.388888888891</v>
      </c>
      <c r="N51" s="17">
        <v>52881.61</v>
      </c>
      <c r="O51" s="14" t="s">
        <v>8</v>
      </c>
      <c r="P51" s="18" t="s">
        <v>89</v>
      </c>
    </row>
    <row r="52" spans="1:16" x14ac:dyDescent="0.3">
      <c r="A52" s="24" t="s">
        <v>102</v>
      </c>
      <c r="B52" s="25" t="s">
        <v>103</v>
      </c>
      <c r="C52" s="87">
        <f>SUM(C39:C50)/C51</f>
        <v>0.9999999217600738</v>
      </c>
      <c r="D52" s="87">
        <f t="shared" ref="D52:N52" si="0">SUM(D39:D50)/D51</f>
        <v>0.9999986548737545</v>
      </c>
      <c r="E52" s="87">
        <f t="shared" si="0"/>
        <v>0.99930787887978878</v>
      </c>
      <c r="F52" s="87">
        <f t="shared" si="0"/>
        <v>0.9999972534583329</v>
      </c>
      <c r="G52" s="87">
        <f t="shared" si="0"/>
        <v>0.99999852968367275</v>
      </c>
      <c r="H52" s="87">
        <f t="shared" si="0"/>
        <v>0.99999808269741608</v>
      </c>
      <c r="I52" s="87">
        <f t="shared" si="0"/>
        <v>0.99999891354512926</v>
      </c>
      <c r="J52" s="87">
        <f t="shared" si="0"/>
        <v>0.99999822895243695</v>
      </c>
      <c r="K52" s="87">
        <f t="shared" si="0"/>
        <v>0.99997799638039664</v>
      </c>
      <c r="L52" s="87">
        <f t="shared" si="0"/>
        <v>1.0000020203040556</v>
      </c>
      <c r="M52" s="87">
        <f t="shared" si="0"/>
        <v>1</v>
      </c>
      <c r="N52" s="87">
        <f t="shared" si="0"/>
        <v>1.0000588526374712</v>
      </c>
      <c r="O52" s="14"/>
      <c r="P52" s="14"/>
    </row>
    <row r="53" spans="1:16" x14ac:dyDescent="0.3">
      <c r="A53" s="11" t="s">
        <v>104</v>
      </c>
      <c r="B53" s="22" t="s">
        <v>88</v>
      </c>
      <c r="C53" s="88">
        <v>1047.22335</v>
      </c>
      <c r="D53" s="88">
        <v>950.27777777777771</v>
      </c>
      <c r="E53" s="88">
        <v>1005.5555555555555</v>
      </c>
      <c r="F53" s="88">
        <v>1906.1111111111111</v>
      </c>
      <c r="G53" s="88">
        <v>1236.1111111111111</v>
      </c>
      <c r="H53" s="88">
        <v>1065.5555555555554</v>
      </c>
      <c r="I53" s="88">
        <v>771.38888888888891</v>
      </c>
      <c r="J53" s="88">
        <v>1598.0555555555554</v>
      </c>
      <c r="K53" s="88">
        <v>1420.8333333333333</v>
      </c>
      <c r="L53" s="88">
        <v>1423.3333333333333</v>
      </c>
      <c r="M53" s="88">
        <v>2056.9444444444443</v>
      </c>
      <c r="N53" s="88">
        <v>1815.8333333333333</v>
      </c>
      <c r="O53" s="14" t="s">
        <v>8</v>
      </c>
      <c r="P53" s="18" t="s">
        <v>89</v>
      </c>
    </row>
    <row r="54" spans="1:16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8" x14ac:dyDescent="0.3">
      <c r="A56" s="2" t="s">
        <v>105</v>
      </c>
      <c r="B56" s="2"/>
      <c r="C56" s="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8"/>
    </row>
    <row r="57" spans="1:16" ht="15.6" x14ac:dyDescent="0.3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.6" x14ac:dyDescent="0.3">
      <c r="A58" s="8" t="s">
        <v>106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5.6" x14ac:dyDescent="0.3">
      <c r="A59" s="8"/>
      <c r="B59" s="28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8"/>
      <c r="P59" s="28"/>
    </row>
    <row r="60" spans="1:16" x14ac:dyDescent="0.3">
      <c r="A60" s="12" t="s">
        <v>107</v>
      </c>
      <c r="B60" s="22" t="s">
        <v>224</v>
      </c>
      <c r="C60" s="17">
        <v>707.48944444444442</v>
      </c>
      <c r="D60" s="17">
        <v>696.26333333333321</v>
      </c>
      <c r="E60" s="17">
        <v>805.4</v>
      </c>
      <c r="F60" s="17">
        <v>758.36666666666667</v>
      </c>
      <c r="G60" s="17">
        <v>721.37222222222215</v>
      </c>
      <c r="H60" s="17">
        <v>804.54444444444448</v>
      </c>
      <c r="I60" s="17">
        <v>899.88888888888869</v>
      </c>
      <c r="J60" s="17">
        <v>649.14305555555563</v>
      </c>
      <c r="K60" s="17">
        <v>602.76333333333343</v>
      </c>
      <c r="L60" s="17">
        <v>742.22222222222217</v>
      </c>
      <c r="M60" s="17">
        <v>749.44444444444446</v>
      </c>
      <c r="N60" s="17">
        <v>430.83333333333331</v>
      </c>
      <c r="O60" s="14" t="s">
        <v>8</v>
      </c>
      <c r="P60" s="18" t="s">
        <v>108</v>
      </c>
    </row>
    <row r="61" spans="1:16" x14ac:dyDescent="0.3">
      <c r="A61" s="42" t="s">
        <v>109</v>
      </c>
      <c r="B61" s="22" t="s">
        <v>224</v>
      </c>
      <c r="C61" s="17">
        <v>493.49999999999994</v>
      </c>
      <c r="D61" s="17">
        <v>540.49999999999989</v>
      </c>
      <c r="E61" s="17">
        <v>599.25</v>
      </c>
      <c r="F61" s="17">
        <v>575.74999999999989</v>
      </c>
      <c r="G61" s="17">
        <v>540.49999999999989</v>
      </c>
      <c r="H61" s="17">
        <v>587.5</v>
      </c>
      <c r="I61" s="17">
        <v>646.25</v>
      </c>
      <c r="J61" s="17">
        <v>491.73750000000001</v>
      </c>
      <c r="K61" s="17">
        <v>505.25</v>
      </c>
      <c r="L61" s="17">
        <v>448.05555555555549</v>
      </c>
      <c r="M61" s="17">
        <v>420.83333333333331</v>
      </c>
      <c r="N61" s="17">
        <v>201.94444444444443</v>
      </c>
      <c r="O61" s="14" t="s">
        <v>8</v>
      </c>
      <c r="P61" s="18" t="s">
        <v>108</v>
      </c>
    </row>
    <row r="62" spans="1:16" x14ac:dyDescent="0.3">
      <c r="A62" s="42" t="s">
        <v>110</v>
      </c>
      <c r="B62" s="22" t="s">
        <v>224</v>
      </c>
      <c r="C62" s="17">
        <v>176.44444444444446</v>
      </c>
      <c r="D62" s="17">
        <v>130.73333333333332</v>
      </c>
      <c r="E62" s="17">
        <v>130.73333333333332</v>
      </c>
      <c r="F62" s="17">
        <v>119.83888888888889</v>
      </c>
      <c r="G62" s="17">
        <v>130.73333333333332</v>
      </c>
      <c r="H62" s="17">
        <v>141.62777777777777</v>
      </c>
      <c r="I62" s="17">
        <v>141.55555555555554</v>
      </c>
      <c r="J62" s="17">
        <v>32.68333333333333</v>
      </c>
      <c r="K62" s="17">
        <v>34.735555555555557</v>
      </c>
      <c r="L62" s="17">
        <v>174.22222222222223</v>
      </c>
      <c r="M62" s="17">
        <v>238.05555555555554</v>
      </c>
      <c r="N62" s="17">
        <v>175</v>
      </c>
      <c r="O62" s="14" t="s">
        <v>8</v>
      </c>
      <c r="P62" s="18" t="s">
        <v>108</v>
      </c>
    </row>
    <row r="63" spans="1:16" x14ac:dyDescent="0.3">
      <c r="A63" s="42" t="s">
        <v>111</v>
      </c>
      <c r="B63" s="22" t="s">
        <v>224</v>
      </c>
      <c r="C63" s="17">
        <v>37.545000000000002</v>
      </c>
      <c r="D63" s="17">
        <v>25.03</v>
      </c>
      <c r="E63" s="17">
        <v>75.416666666666671</v>
      </c>
      <c r="F63" s="17">
        <v>62.777777777777779</v>
      </c>
      <c r="G63" s="17">
        <v>50.138888888888886</v>
      </c>
      <c r="H63" s="17">
        <v>75.416666666666671</v>
      </c>
      <c r="I63" s="17">
        <v>112.08333333333334</v>
      </c>
      <c r="J63" s="17">
        <v>124.72222222222221</v>
      </c>
      <c r="K63" s="17">
        <v>62.777777777777779</v>
      </c>
      <c r="L63" s="17">
        <v>119.23666666666665</v>
      </c>
      <c r="M63" s="17">
        <v>97.5</v>
      </c>
      <c r="N63" s="17">
        <v>53.888888888888886</v>
      </c>
      <c r="O63" s="14" t="s">
        <v>8</v>
      </c>
      <c r="P63" s="18" t="s">
        <v>108</v>
      </c>
    </row>
    <row r="64" spans="1:16" x14ac:dyDescent="0.3">
      <c r="A64" s="12" t="s">
        <v>112</v>
      </c>
      <c r="B64" s="22" t="s">
        <v>224</v>
      </c>
      <c r="C64" s="17">
        <v>1328.6111111111111</v>
      </c>
      <c r="D64" s="17">
        <v>1327.9106410170841</v>
      </c>
      <c r="E64" s="17">
        <v>1382.9299623262032</v>
      </c>
      <c r="F64" s="17">
        <v>1702.5606372159514</v>
      </c>
      <c r="G64" s="17">
        <v>1137.1164779571598</v>
      </c>
      <c r="H64" s="17">
        <v>1094.9564560808012</v>
      </c>
      <c r="I64" s="17">
        <v>1239.497820025184</v>
      </c>
      <c r="J64" s="17">
        <v>1142.3767517081258</v>
      </c>
      <c r="K64" s="17">
        <v>1267.9943420992604</v>
      </c>
      <c r="L64" s="17">
        <v>1156.9422678782928</v>
      </c>
      <c r="M64" s="17">
        <v>1101.3888888888889</v>
      </c>
      <c r="N64" s="17">
        <v>1147.2222222222222</v>
      </c>
      <c r="O64" s="14" t="s">
        <v>8</v>
      </c>
      <c r="P64" s="18" t="s">
        <v>108</v>
      </c>
    </row>
    <row r="65" spans="1:16" x14ac:dyDescent="0.3">
      <c r="A65" s="12" t="s">
        <v>113</v>
      </c>
      <c r="B65" s="22" t="s">
        <v>224</v>
      </c>
      <c r="C65" s="17">
        <v>867.22222222222217</v>
      </c>
      <c r="D65" s="17">
        <v>1047.8879999999999</v>
      </c>
      <c r="E65" s="17">
        <v>875</v>
      </c>
      <c r="F65" s="17">
        <v>1460</v>
      </c>
      <c r="G65" s="17">
        <v>1081.1111111111111</v>
      </c>
      <c r="H65" s="17">
        <v>558.8888888888888</v>
      </c>
      <c r="I65" s="17">
        <v>456.11111111111109</v>
      </c>
      <c r="J65" s="17">
        <v>632.22222222222206</v>
      </c>
      <c r="K65" s="17">
        <v>636.94444444444457</v>
      </c>
      <c r="L65" s="17">
        <v>751.1111111111112</v>
      </c>
      <c r="M65" s="17">
        <v>118.05555555555556</v>
      </c>
      <c r="N65" s="17">
        <v>2.5</v>
      </c>
      <c r="O65" s="14" t="s">
        <v>8</v>
      </c>
      <c r="P65" s="18" t="s">
        <v>108</v>
      </c>
    </row>
    <row r="66" spans="1:16" x14ac:dyDescent="0.3">
      <c r="A66" s="42" t="s">
        <v>114</v>
      </c>
      <c r="B66" s="22" t="s">
        <v>224</v>
      </c>
      <c r="C66" s="17">
        <v>354.72222222222223</v>
      </c>
      <c r="D66" s="17">
        <v>430.03333333333325</v>
      </c>
      <c r="E66" s="17">
        <v>392.31111111111107</v>
      </c>
      <c r="F66" s="17">
        <v>324.36333333333334</v>
      </c>
      <c r="G66" s="17">
        <v>490.38888888888891</v>
      </c>
      <c r="H66" s="17">
        <v>165.91666666666666</v>
      </c>
      <c r="I66" s="17">
        <v>150.83333333333334</v>
      </c>
      <c r="J66" s="17">
        <v>208.32777777777781</v>
      </c>
      <c r="K66" s="17">
        <v>275</v>
      </c>
      <c r="L66" s="17">
        <v>320.27777777777777</v>
      </c>
      <c r="M66" s="17">
        <v>60.277777777777771</v>
      </c>
      <c r="N66" s="17">
        <v>1.9444444444444444</v>
      </c>
      <c r="O66" s="14" t="s">
        <v>8</v>
      </c>
      <c r="P66" s="18" t="s">
        <v>108</v>
      </c>
    </row>
    <row r="67" spans="1:16" x14ac:dyDescent="0.3">
      <c r="A67" s="42" t="s">
        <v>115</v>
      </c>
      <c r="B67" s="22" t="s">
        <v>224</v>
      </c>
      <c r="C67" s="17">
        <v>512.5</v>
      </c>
      <c r="D67" s="17">
        <v>607.22222222222217</v>
      </c>
      <c r="E67" s="17">
        <v>482.77777777777771</v>
      </c>
      <c r="F67" s="17">
        <v>421.94444444444446</v>
      </c>
      <c r="G67" s="17">
        <v>394.44444444444446</v>
      </c>
      <c r="H67" s="17">
        <v>173.88888888888889</v>
      </c>
      <c r="I67" s="17">
        <v>113.33333333333334</v>
      </c>
      <c r="J67" s="17">
        <v>232.5</v>
      </c>
      <c r="K67" s="17">
        <v>260.83333333333331</v>
      </c>
      <c r="L67" s="17">
        <v>231.11111111111111</v>
      </c>
      <c r="M67" s="17">
        <v>16.111111111111107</v>
      </c>
      <c r="N67" s="17">
        <v>0</v>
      </c>
      <c r="O67" s="14" t="s">
        <v>8</v>
      </c>
      <c r="P67" s="18" t="s">
        <v>108</v>
      </c>
    </row>
    <row r="68" spans="1:16" x14ac:dyDescent="0.3">
      <c r="A68" s="42" t="s">
        <v>116</v>
      </c>
      <c r="B68" s="22" t="s">
        <v>224</v>
      </c>
      <c r="C68" s="17">
        <v>0</v>
      </c>
      <c r="D68" s="17">
        <v>0</v>
      </c>
      <c r="E68" s="17">
        <v>0</v>
      </c>
      <c r="F68" s="17">
        <v>39.583333333333336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4" t="s">
        <v>8</v>
      </c>
      <c r="P68" s="18" t="s">
        <v>108</v>
      </c>
    </row>
    <row r="69" spans="1:16" x14ac:dyDescent="0.3">
      <c r="A69" s="42" t="s">
        <v>117</v>
      </c>
      <c r="B69" s="22" t="s">
        <v>224</v>
      </c>
      <c r="C69" s="17">
        <v>0</v>
      </c>
      <c r="D69" s="17">
        <v>10.14111111111111</v>
      </c>
      <c r="E69" s="17">
        <v>0</v>
      </c>
      <c r="F69" s="17">
        <v>673.61111111111109</v>
      </c>
      <c r="G69" s="17">
        <v>196.38888888888889</v>
      </c>
      <c r="H69" s="17">
        <v>219.16666666666666</v>
      </c>
      <c r="I69" s="17">
        <v>191.94444444444446</v>
      </c>
      <c r="J69" s="17">
        <v>191.38888888888886</v>
      </c>
      <c r="K69" s="17">
        <v>101.11111111111111</v>
      </c>
      <c r="L69" s="17">
        <v>199.72222222222223</v>
      </c>
      <c r="M69" s="17">
        <v>41.666666666666664</v>
      </c>
      <c r="N69" s="17">
        <v>0.55555555555555558</v>
      </c>
      <c r="O69" s="14" t="s">
        <v>8</v>
      </c>
      <c r="P69" s="18" t="s">
        <v>108</v>
      </c>
    </row>
    <row r="70" spans="1:16" x14ac:dyDescent="0.3">
      <c r="A70" s="12" t="s">
        <v>118</v>
      </c>
      <c r="B70" s="22" t="s">
        <v>224</v>
      </c>
      <c r="C70" s="17">
        <v>2095</v>
      </c>
      <c r="D70" s="17">
        <v>2046</v>
      </c>
      <c r="E70" s="17">
        <v>2187</v>
      </c>
      <c r="F70" s="17">
        <v>2156</v>
      </c>
      <c r="G70" s="17">
        <v>2117</v>
      </c>
      <c r="H70" s="17">
        <v>2059</v>
      </c>
      <c r="I70" s="17">
        <v>2151.9999999999995</v>
      </c>
      <c r="J70" s="17">
        <v>2281.1111111111109</v>
      </c>
      <c r="K70" s="17">
        <v>2360.89</v>
      </c>
      <c r="L70" s="17">
        <v>2131.9</v>
      </c>
      <c r="M70" s="17">
        <v>2128.8888888888887</v>
      </c>
      <c r="N70" s="17">
        <v>2209.7222222222222</v>
      </c>
      <c r="O70" s="14" t="s">
        <v>8</v>
      </c>
      <c r="P70" s="18" t="s">
        <v>108</v>
      </c>
    </row>
    <row r="71" spans="1:16" x14ac:dyDescent="0.3">
      <c r="A71" s="12" t="s">
        <v>119</v>
      </c>
      <c r="B71" s="22" t="s">
        <v>224</v>
      </c>
      <c r="C71" s="17">
        <v>506.38888888888886</v>
      </c>
      <c r="D71" s="17">
        <v>430.55555555555554</v>
      </c>
      <c r="E71" s="17">
        <v>416.66666666666674</v>
      </c>
      <c r="F71" s="17">
        <v>382.77777777777771</v>
      </c>
      <c r="G71" s="17">
        <v>370</v>
      </c>
      <c r="H71" s="17">
        <v>433.61111111111109</v>
      </c>
      <c r="I71" s="17">
        <v>439.44444444444446</v>
      </c>
      <c r="J71" s="17">
        <v>430.55555555555554</v>
      </c>
      <c r="K71" s="17">
        <v>415.83333333333326</v>
      </c>
      <c r="L71" s="17">
        <v>389.16666666666663</v>
      </c>
      <c r="M71" s="17">
        <v>430</v>
      </c>
      <c r="N71" s="17">
        <v>476.83000000000004</v>
      </c>
      <c r="O71" s="14" t="s">
        <v>8</v>
      </c>
      <c r="P71" s="18" t="s">
        <v>108</v>
      </c>
    </row>
    <row r="72" spans="1:16" x14ac:dyDescent="0.3">
      <c r="A72" s="12" t="s">
        <v>120</v>
      </c>
      <c r="B72" s="22" t="s">
        <v>224</v>
      </c>
      <c r="C72" s="17">
        <v>1213.8888888888889</v>
      </c>
      <c r="D72" s="17">
        <v>1272.7777777777778</v>
      </c>
      <c r="E72" s="17">
        <v>888.88888888888891</v>
      </c>
      <c r="F72" s="17">
        <v>980.27777777777771</v>
      </c>
      <c r="G72" s="17">
        <v>1037.5</v>
      </c>
      <c r="H72" s="17">
        <v>1269.4444444444443</v>
      </c>
      <c r="I72" s="17">
        <v>137.7777777777778</v>
      </c>
      <c r="J72" s="17">
        <v>281.11111111111109</v>
      </c>
      <c r="K72" s="17">
        <v>389.72222222222217</v>
      </c>
      <c r="L72" s="17">
        <v>170</v>
      </c>
      <c r="M72" s="17">
        <v>217.5</v>
      </c>
      <c r="N72" s="17">
        <v>130.83333333333334</v>
      </c>
      <c r="O72" s="14" t="s">
        <v>8</v>
      </c>
      <c r="P72" s="18" t="s">
        <v>108</v>
      </c>
    </row>
    <row r="73" spans="1:16" x14ac:dyDescent="0.3">
      <c r="A73" s="47" t="s">
        <v>121</v>
      </c>
      <c r="B73" s="22" t="s">
        <v>224</v>
      </c>
      <c r="C73" s="185">
        <v>6718.6111111111122</v>
      </c>
      <c r="D73" s="185">
        <v>6816.1111111111113</v>
      </c>
      <c r="E73" s="185">
        <v>6560.2777777777774</v>
      </c>
      <c r="F73" s="185">
        <v>7438.6111111111113</v>
      </c>
      <c r="G73" s="185">
        <v>6464.4444444444443</v>
      </c>
      <c r="H73" s="185">
        <v>6222.2222222222217</v>
      </c>
      <c r="I73" s="185">
        <v>5324.166666666667</v>
      </c>
      <c r="J73" s="185">
        <v>5416.9444444444443</v>
      </c>
      <c r="K73" s="185">
        <v>5673.6111111111104</v>
      </c>
      <c r="L73" s="185">
        <v>5341.3888888888887</v>
      </c>
      <c r="M73" s="185">
        <v>4745.2777777777774</v>
      </c>
      <c r="N73" s="185">
        <v>4398.0555555555557</v>
      </c>
      <c r="O73" s="14" t="s">
        <v>8</v>
      </c>
      <c r="P73" s="18" t="s">
        <v>108</v>
      </c>
    </row>
    <row r="74" spans="1:16" x14ac:dyDescent="0.3">
      <c r="A74" s="24" t="s">
        <v>102</v>
      </c>
      <c r="B74" s="25" t="s">
        <v>103</v>
      </c>
      <c r="C74" s="87">
        <f>(C60+C64+C65+C70+C71+C72)/C73</f>
        <v>0.99999842890809088</v>
      </c>
      <c r="D74" s="87">
        <f t="shared" ref="D74:N74" si="1">(D60+D64+D65+D70+D71+D72)/D73</f>
        <v>1.0007752509439036</v>
      </c>
      <c r="E74" s="87">
        <f t="shared" si="1"/>
        <v>0.99933047653700013</v>
      </c>
      <c r="F74" s="87">
        <f t="shared" si="1"/>
        <v>1.0001844092003966</v>
      </c>
      <c r="G74" s="87">
        <f t="shared" si="1"/>
        <v>0.99994668789299479</v>
      </c>
      <c r="H74" s="87">
        <f t="shared" si="1"/>
        <v>0.9997144304415575</v>
      </c>
      <c r="I74" s="87">
        <f t="shared" si="1"/>
        <v>1.0001039365623547</v>
      </c>
      <c r="J74" s="87">
        <f t="shared" si="1"/>
        <v>0.999921609463579</v>
      </c>
      <c r="K74" s="87">
        <f t="shared" si="1"/>
        <v>1.0000945719244716</v>
      </c>
      <c r="L74" s="87">
        <f t="shared" si="1"/>
        <v>0.99999127174381686</v>
      </c>
      <c r="M74" s="87">
        <f t="shared" si="1"/>
        <v>1</v>
      </c>
      <c r="N74" s="87">
        <f t="shared" si="1"/>
        <v>0.99997397839954505</v>
      </c>
      <c r="O74" s="28"/>
      <c r="P74" s="28"/>
    </row>
    <row r="75" spans="1:16" ht="15.6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8"/>
    </row>
    <row r="76" spans="1:16" ht="15.6" x14ac:dyDescent="0.3">
      <c r="A76" s="8" t="s">
        <v>122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8"/>
    </row>
    <row r="77" spans="1:16" ht="15.6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328"/>
      <c r="N77" s="8"/>
      <c r="O77" s="8"/>
      <c r="P77" s="28"/>
    </row>
    <row r="78" spans="1:16" x14ac:dyDescent="0.3">
      <c r="A78" s="12" t="s">
        <v>123</v>
      </c>
      <c r="B78" s="22" t="s">
        <v>224</v>
      </c>
      <c r="C78" s="17">
        <v>8596.6666666666661</v>
      </c>
      <c r="D78" s="17">
        <v>8578.3333333333321</v>
      </c>
      <c r="E78" s="17">
        <v>8683.3333333333321</v>
      </c>
      <c r="F78" s="17">
        <v>8486.9444444444434</v>
      </c>
      <c r="G78" s="17">
        <v>8495.8333333333339</v>
      </c>
      <c r="H78" s="17">
        <v>8729.7222222222226</v>
      </c>
      <c r="I78" s="17">
        <v>8916.9444444444434</v>
      </c>
      <c r="J78" s="17">
        <v>9221.1111111111113</v>
      </c>
      <c r="K78" s="17">
        <v>9348.6111111111113</v>
      </c>
      <c r="L78" s="17">
        <v>9166.6666666666661</v>
      </c>
      <c r="M78" s="17">
        <v>8421.1111111111113</v>
      </c>
      <c r="N78" s="17">
        <v>8869.4444444444434</v>
      </c>
      <c r="O78" s="14" t="s">
        <v>8</v>
      </c>
      <c r="P78" s="18" t="s">
        <v>108</v>
      </c>
    </row>
    <row r="79" spans="1:16" x14ac:dyDescent="0.3">
      <c r="A79" s="42" t="s">
        <v>124</v>
      </c>
      <c r="B79" s="22" t="s">
        <v>224</v>
      </c>
      <c r="C79" s="17">
        <v>3361.1111111111109</v>
      </c>
      <c r="D79" s="17">
        <v>3116.6666666666665</v>
      </c>
      <c r="E79" s="17">
        <v>2982.2222222222222</v>
      </c>
      <c r="F79" s="17">
        <v>2798.8888888888887</v>
      </c>
      <c r="G79" s="17">
        <v>2811.1111111111109</v>
      </c>
      <c r="H79" s="17">
        <v>2798.8888888888887</v>
      </c>
      <c r="I79" s="17">
        <v>2957.7777777777778</v>
      </c>
      <c r="J79" s="17">
        <v>3104.4444444444443</v>
      </c>
      <c r="K79" s="17">
        <v>3165.5555555555557</v>
      </c>
      <c r="L79" s="17">
        <v>3177.7777777777778</v>
      </c>
      <c r="M79" s="17">
        <v>2493.3333333333335</v>
      </c>
      <c r="N79" s="17">
        <v>2322.2222222222222</v>
      </c>
      <c r="O79" s="14" t="s">
        <v>8</v>
      </c>
      <c r="P79" s="18" t="s">
        <v>108</v>
      </c>
    </row>
    <row r="80" spans="1:16" x14ac:dyDescent="0.3">
      <c r="A80" s="42" t="s">
        <v>125</v>
      </c>
      <c r="B80" s="22" t="s">
        <v>224</v>
      </c>
      <c r="C80" s="17">
        <v>5198.6111111111113</v>
      </c>
      <c r="D80" s="17">
        <v>5420</v>
      </c>
      <c r="E80" s="17">
        <v>5651.75</v>
      </c>
      <c r="F80" s="17">
        <v>5628.25</v>
      </c>
      <c r="G80" s="17">
        <v>5616.3888888888887</v>
      </c>
      <c r="H80" s="17">
        <v>5851.3888888888887</v>
      </c>
      <c r="I80" s="17">
        <v>5875</v>
      </c>
      <c r="J80" s="17">
        <v>6017.7777777777774</v>
      </c>
      <c r="K80" s="17">
        <v>6064.9999999999991</v>
      </c>
      <c r="L80" s="17">
        <v>5851.666666666667</v>
      </c>
      <c r="M80" s="17">
        <v>5796.3888888888887</v>
      </c>
      <c r="N80" s="17">
        <v>6404.1666666666661</v>
      </c>
      <c r="O80" s="14" t="s">
        <v>8</v>
      </c>
      <c r="P80" s="18" t="s">
        <v>108</v>
      </c>
    </row>
    <row r="81" spans="1:16" x14ac:dyDescent="0.3">
      <c r="A81" s="42" t="s">
        <v>126</v>
      </c>
      <c r="B81" s="22" t="s">
        <v>224</v>
      </c>
      <c r="C81" s="17">
        <v>26.111111111111114</v>
      </c>
      <c r="D81" s="17">
        <v>29.006249999999998</v>
      </c>
      <c r="E81" s="17">
        <v>37.752361111111114</v>
      </c>
      <c r="F81" s="17">
        <v>44.362499999999997</v>
      </c>
      <c r="G81" s="17">
        <v>53.058055555555569</v>
      </c>
      <c r="H81" s="17">
        <v>63.282916666666665</v>
      </c>
      <c r="I81" s="17">
        <v>71.111111111111114</v>
      </c>
      <c r="J81" s="17">
        <v>85</v>
      </c>
      <c r="K81" s="17">
        <v>102.61513888888888</v>
      </c>
      <c r="L81" s="17">
        <v>122.22222222222221</v>
      </c>
      <c r="M81" s="17">
        <v>117.5</v>
      </c>
      <c r="N81" s="17">
        <v>121.3888888888889</v>
      </c>
      <c r="O81" s="14" t="s">
        <v>8</v>
      </c>
      <c r="P81" s="18" t="s">
        <v>108</v>
      </c>
    </row>
    <row r="82" spans="1:16" x14ac:dyDescent="0.3">
      <c r="A82" s="42" t="s">
        <v>127</v>
      </c>
      <c r="B82" s="22" t="s">
        <v>224</v>
      </c>
      <c r="C82" s="17">
        <v>11.1100227</v>
      </c>
      <c r="D82" s="17">
        <v>13.481147099999999</v>
      </c>
      <c r="E82" s="17">
        <v>11.989948500000001</v>
      </c>
      <c r="F82" s="17">
        <v>15.497789100000002</v>
      </c>
      <c r="G82" s="17">
        <v>15.6444434</v>
      </c>
      <c r="H82" s="17">
        <v>16.524485500000001</v>
      </c>
      <c r="I82" s="17">
        <v>13.456724100000002</v>
      </c>
      <c r="J82" s="17">
        <v>14.214418600000002</v>
      </c>
      <c r="K82" s="17">
        <v>15.864483</v>
      </c>
      <c r="L82" s="17">
        <v>15.864483</v>
      </c>
      <c r="M82" s="17">
        <v>13.888888888888889</v>
      </c>
      <c r="N82" s="17">
        <v>21.666666666666668</v>
      </c>
      <c r="O82" s="14" t="s">
        <v>20</v>
      </c>
      <c r="P82" s="18"/>
    </row>
    <row r="83" spans="1:16" x14ac:dyDescent="0.3">
      <c r="A83" s="42" t="s">
        <v>128</v>
      </c>
      <c r="B83" s="22" t="s">
        <v>224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8" t="s">
        <v>8</v>
      </c>
      <c r="P83" s="18" t="s">
        <v>108</v>
      </c>
    </row>
    <row r="84" spans="1:16" x14ac:dyDescent="0.3">
      <c r="A84" s="12" t="s">
        <v>129</v>
      </c>
      <c r="B84" s="22" t="s">
        <v>224</v>
      </c>
      <c r="C84" s="17">
        <v>0.55555555555555558</v>
      </c>
      <c r="D84" s="17">
        <v>3.0555555555555554</v>
      </c>
      <c r="E84" s="17">
        <v>6.3888888888888884</v>
      </c>
      <c r="F84" s="17">
        <v>10</v>
      </c>
      <c r="G84" s="17">
        <v>18.333333333333332</v>
      </c>
      <c r="H84" s="17">
        <v>32.222222222222214</v>
      </c>
      <c r="I84" s="17">
        <v>48.055555555555564</v>
      </c>
      <c r="J84" s="17">
        <v>54.444444444444443</v>
      </c>
      <c r="K84" s="17">
        <v>82.777777777777771</v>
      </c>
      <c r="L84" s="17">
        <v>106.94444444444444</v>
      </c>
      <c r="M84" s="17">
        <v>180.83333333333334</v>
      </c>
      <c r="N84" s="17">
        <v>200</v>
      </c>
      <c r="O84" s="18" t="s">
        <v>8</v>
      </c>
      <c r="P84" s="18" t="s">
        <v>108</v>
      </c>
    </row>
    <row r="85" spans="1:16" x14ac:dyDescent="0.3">
      <c r="A85" s="12" t="s">
        <v>130</v>
      </c>
      <c r="B85" s="22" t="s">
        <v>224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4" t="s">
        <v>8</v>
      </c>
      <c r="P85" s="18" t="s">
        <v>108</v>
      </c>
    </row>
    <row r="86" spans="1:16" x14ac:dyDescent="0.3">
      <c r="A86" s="12" t="s">
        <v>131</v>
      </c>
      <c r="B86" s="22" t="s">
        <v>224</v>
      </c>
      <c r="C86" s="17">
        <v>89.000000000000014</v>
      </c>
      <c r="D86" s="17">
        <v>80.000000000000014</v>
      </c>
      <c r="E86" s="17">
        <v>79.000000000000014</v>
      </c>
      <c r="F86" s="17">
        <v>62.999999999999993</v>
      </c>
      <c r="G86" s="17">
        <v>50</v>
      </c>
      <c r="H86" s="17">
        <v>46.999999999999993</v>
      </c>
      <c r="I86" s="17">
        <v>48</v>
      </c>
      <c r="J86" s="17">
        <v>48</v>
      </c>
      <c r="K86" s="17">
        <v>43</v>
      </c>
      <c r="L86" s="17">
        <v>56</v>
      </c>
      <c r="M86" s="17">
        <v>26</v>
      </c>
      <c r="N86" s="17">
        <v>29.999999999999996</v>
      </c>
      <c r="O86" s="14" t="s">
        <v>8</v>
      </c>
      <c r="P86" s="18" t="s">
        <v>108</v>
      </c>
    </row>
    <row r="87" spans="1:16" x14ac:dyDescent="0.3">
      <c r="A87" s="12" t="s">
        <v>132</v>
      </c>
      <c r="B87" s="22" t="s">
        <v>224</v>
      </c>
      <c r="C87" s="17">
        <v>88.944454881111128</v>
      </c>
      <c r="D87" s="17">
        <v>51.751972222222221</v>
      </c>
      <c r="E87" s="17">
        <v>41.882444444444445</v>
      </c>
      <c r="F87" s="17">
        <v>35.547222222222224</v>
      </c>
      <c r="G87" s="17">
        <v>59.397090277777771</v>
      </c>
      <c r="H87" s="17">
        <v>30.238</v>
      </c>
      <c r="I87" s="17">
        <v>22.222222222222221</v>
      </c>
      <c r="J87" s="17">
        <v>28.611111111111111</v>
      </c>
      <c r="K87" s="17">
        <v>203.05555555555554</v>
      </c>
      <c r="L87" s="17">
        <v>378.61111111111109</v>
      </c>
      <c r="M87" s="17">
        <v>550.27777777777771</v>
      </c>
      <c r="N87" s="17">
        <v>621.11111111111109</v>
      </c>
      <c r="O87" s="14" t="s">
        <v>8</v>
      </c>
      <c r="P87" s="18" t="s">
        <v>108</v>
      </c>
    </row>
    <row r="88" spans="1:16" x14ac:dyDescent="0.3">
      <c r="A88" s="47" t="s">
        <v>133</v>
      </c>
      <c r="B88" s="22" t="s">
        <v>224</v>
      </c>
      <c r="C88" s="185">
        <v>8776.1111111111113</v>
      </c>
      <c r="D88" s="185">
        <v>8713.8888888888869</v>
      </c>
      <c r="E88" s="185">
        <v>8813.3333333333339</v>
      </c>
      <c r="F88" s="185">
        <v>8596.9444444444434</v>
      </c>
      <c r="G88" s="185">
        <v>8623.8888888888887</v>
      </c>
      <c r="H88" s="185">
        <v>8838.8888888888887</v>
      </c>
      <c r="I88" s="185">
        <v>9035.2777777777774</v>
      </c>
      <c r="J88" s="185">
        <v>9350.5555555555547</v>
      </c>
      <c r="K88" s="185">
        <v>9677.5</v>
      </c>
      <c r="L88" s="185">
        <v>9708.3333333333339</v>
      </c>
      <c r="M88" s="185">
        <v>9178</v>
      </c>
      <c r="N88" s="185">
        <v>9720.2777777777774</v>
      </c>
      <c r="O88" s="27"/>
      <c r="P88" s="18" t="s">
        <v>108</v>
      </c>
    </row>
    <row r="89" spans="1:16" ht="15.6" x14ac:dyDescent="0.3">
      <c r="A89" s="24" t="s">
        <v>134</v>
      </c>
      <c r="B89" s="25" t="s">
        <v>103</v>
      </c>
      <c r="C89" s="87">
        <f>IFERROR((C78+C84+C85+C86+C87)/C88,"")</f>
        <v>0.99989238581920603</v>
      </c>
      <c r="D89" s="87">
        <f t="shared" ref="D89:N89" si="2">IFERROR((D78+D84+D85+D86+D87)/D88,"")</f>
        <v>0.9999141568377431</v>
      </c>
      <c r="E89" s="87">
        <f t="shared" si="2"/>
        <v>0.99969039334341891</v>
      </c>
      <c r="F89" s="87">
        <f t="shared" si="2"/>
        <v>0.99983101231057536</v>
      </c>
      <c r="G89" s="87">
        <f t="shared" si="2"/>
        <v>0.9999622986858212</v>
      </c>
      <c r="H89" s="87">
        <f t="shared" si="2"/>
        <v>1.0000332118164676</v>
      </c>
      <c r="I89" s="87">
        <f t="shared" si="2"/>
        <v>0.99999385126202833</v>
      </c>
      <c r="J89" s="87">
        <f t="shared" si="2"/>
        <v>1.0001723011110453</v>
      </c>
      <c r="K89" s="87">
        <f t="shared" si="2"/>
        <v>0.99999425930709829</v>
      </c>
      <c r="L89" s="87">
        <f t="shared" si="2"/>
        <v>0.99998855507868378</v>
      </c>
      <c r="M89" s="87">
        <f t="shared" si="2"/>
        <v>1.0000242124888017</v>
      </c>
      <c r="N89" s="87">
        <f t="shared" si="2"/>
        <v>1.0000285771440003</v>
      </c>
      <c r="O89" s="8"/>
      <c r="P89" s="18"/>
    </row>
    <row r="90" spans="1:16" ht="15.6" x14ac:dyDescent="0.3">
      <c r="A90" s="24" t="s">
        <v>135</v>
      </c>
      <c r="B90" s="25" t="s">
        <v>103</v>
      </c>
      <c r="C90" s="87">
        <f t="shared" ref="C90:N90" si="3">IFERROR((C83+C82+C81+C80+C79)/C78,"")</f>
        <v>1.0000321856572314</v>
      </c>
      <c r="D90" s="87">
        <f t="shared" si="3"/>
        <v>1.0000956748125123</v>
      </c>
      <c r="E90" s="87">
        <f t="shared" si="3"/>
        <v>1.0000439000191941</v>
      </c>
      <c r="F90" s="87">
        <f t="shared" si="3"/>
        <v>1.0000064491460741</v>
      </c>
      <c r="G90" s="87">
        <f t="shared" si="3"/>
        <v>1.0000434525499426</v>
      </c>
      <c r="H90" s="87">
        <f t="shared" si="3"/>
        <v>1.0000415772361344</v>
      </c>
      <c r="I90" s="87">
        <f t="shared" si="3"/>
        <v>1.0000449894632568</v>
      </c>
      <c r="J90" s="87">
        <f t="shared" si="3"/>
        <v>1.0000353026557416</v>
      </c>
      <c r="K90" s="87">
        <f t="shared" si="3"/>
        <v>1.0000453614262366</v>
      </c>
      <c r="L90" s="87">
        <f t="shared" si="3"/>
        <v>1.0000943072363637</v>
      </c>
      <c r="M90" s="87">
        <f t="shared" si="3"/>
        <v>1</v>
      </c>
      <c r="N90" s="87">
        <f t="shared" si="3"/>
        <v>1</v>
      </c>
      <c r="O90" s="8"/>
      <c r="P90" s="18"/>
    </row>
    <row r="91" spans="1:16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8"/>
    </row>
    <row r="92" spans="1:16" ht="15.6" x14ac:dyDescent="0.3">
      <c r="A92" s="8" t="s">
        <v>136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8"/>
    </row>
    <row r="93" spans="1:16" ht="15.6" x14ac:dyDescent="0.3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8"/>
    </row>
    <row r="94" spans="1:16" x14ac:dyDescent="0.3">
      <c r="A94" s="12" t="s">
        <v>137</v>
      </c>
      <c r="B94" s="22" t="s">
        <v>224</v>
      </c>
      <c r="C94" s="17">
        <v>97.059999999999974</v>
      </c>
      <c r="D94" s="17">
        <v>108.81</v>
      </c>
      <c r="E94" s="17">
        <v>96.666666666666686</v>
      </c>
      <c r="F94" s="17">
        <v>84.916666666666657</v>
      </c>
      <c r="G94" s="17">
        <v>97.555555555555543</v>
      </c>
      <c r="H94" s="17">
        <v>110.19444444444446</v>
      </c>
      <c r="I94" s="17">
        <v>123.72222222222223</v>
      </c>
      <c r="J94" s="17">
        <v>111.97222222222221</v>
      </c>
      <c r="K94" s="17">
        <v>99.333333333333314</v>
      </c>
      <c r="L94" s="17">
        <v>108.18055555555554</v>
      </c>
      <c r="M94" s="17">
        <v>74.166666666666671</v>
      </c>
      <c r="N94" s="17">
        <v>54.722222222222221</v>
      </c>
      <c r="O94" s="18" t="s">
        <v>8</v>
      </c>
      <c r="P94" s="18" t="s">
        <v>108</v>
      </c>
    </row>
    <row r="95" spans="1:16" x14ac:dyDescent="0.3">
      <c r="A95" s="42" t="s">
        <v>126</v>
      </c>
      <c r="B95" s="22" t="s">
        <v>224</v>
      </c>
      <c r="C95" s="17">
        <v>50.06</v>
      </c>
      <c r="D95" s="17">
        <v>50.06</v>
      </c>
      <c r="E95" s="17">
        <v>37.916666666666664</v>
      </c>
      <c r="F95" s="17">
        <v>37.916666666666664</v>
      </c>
      <c r="G95" s="17">
        <v>50.555555555555557</v>
      </c>
      <c r="H95" s="17">
        <v>63.194444444444443</v>
      </c>
      <c r="I95" s="17">
        <v>88.472222222222214</v>
      </c>
      <c r="J95" s="17">
        <v>88.472222222222214</v>
      </c>
      <c r="K95" s="17">
        <v>75.833333333333329</v>
      </c>
      <c r="L95" s="17">
        <v>84.680555555555557</v>
      </c>
      <c r="M95" s="17">
        <v>50.555555555555557</v>
      </c>
      <c r="N95" s="17">
        <v>43.055555555555557</v>
      </c>
      <c r="O95" s="18" t="s">
        <v>8</v>
      </c>
      <c r="P95" s="18" t="s">
        <v>108</v>
      </c>
    </row>
    <row r="96" spans="1:16" x14ac:dyDescent="0.3">
      <c r="A96" s="42" t="s">
        <v>138</v>
      </c>
      <c r="B96" s="22" t="s">
        <v>224</v>
      </c>
      <c r="C96" s="17">
        <v>46.999999999999993</v>
      </c>
      <c r="D96" s="17">
        <v>58.75</v>
      </c>
      <c r="E96" s="17">
        <v>58.75</v>
      </c>
      <c r="F96" s="17">
        <v>46.999999999999993</v>
      </c>
      <c r="G96" s="17">
        <v>46.999999999999993</v>
      </c>
      <c r="H96" s="17">
        <v>46.999999999999993</v>
      </c>
      <c r="I96" s="17">
        <v>35.25</v>
      </c>
      <c r="J96" s="17">
        <v>23.499999999999996</v>
      </c>
      <c r="K96" s="17">
        <v>23.499999999999996</v>
      </c>
      <c r="L96" s="17">
        <v>23.499999999999996</v>
      </c>
      <c r="M96" s="17">
        <v>23.611111111111111</v>
      </c>
      <c r="N96" s="17">
        <v>11.666666666666666</v>
      </c>
      <c r="O96" s="18" t="s">
        <v>8</v>
      </c>
      <c r="P96" s="18" t="s">
        <v>108</v>
      </c>
    </row>
    <row r="97" spans="1:16" x14ac:dyDescent="0.3">
      <c r="A97" s="42" t="s">
        <v>139</v>
      </c>
      <c r="B97" s="22" t="s">
        <v>224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8" t="s">
        <v>8</v>
      </c>
      <c r="P97" s="18" t="s">
        <v>108</v>
      </c>
    </row>
    <row r="98" spans="1:16" x14ac:dyDescent="0.3">
      <c r="A98" s="12" t="s">
        <v>140</v>
      </c>
      <c r="B98" s="22" t="s">
        <v>224</v>
      </c>
      <c r="C98" s="17">
        <v>638.61111111111109</v>
      </c>
      <c r="D98" s="17">
        <v>601.11111111111109</v>
      </c>
      <c r="E98" s="17">
        <v>637.03467295043754</v>
      </c>
      <c r="F98" s="17">
        <v>610.4911488154645</v>
      </c>
      <c r="G98" s="17">
        <v>607.24999999999989</v>
      </c>
      <c r="H98" s="17">
        <v>568.51821599896277</v>
      </c>
      <c r="I98" s="17">
        <v>668.95790541067561</v>
      </c>
      <c r="J98" s="17">
        <v>641.66521206752805</v>
      </c>
      <c r="K98" s="17">
        <v>640.35942742864893</v>
      </c>
      <c r="L98" s="17">
        <v>672.66481286030103</v>
      </c>
      <c r="M98" s="17">
        <v>653.88888888888891</v>
      </c>
      <c r="N98" s="17">
        <v>701.38888888888891</v>
      </c>
      <c r="O98" s="18" t="s">
        <v>8</v>
      </c>
      <c r="P98" s="18" t="s">
        <v>108</v>
      </c>
    </row>
    <row r="99" spans="1:16" x14ac:dyDescent="0.3">
      <c r="A99" s="12" t="s">
        <v>141</v>
      </c>
      <c r="B99" s="22" t="s">
        <v>224</v>
      </c>
      <c r="C99" s="17">
        <v>100.35555555555554</v>
      </c>
      <c r="D99" s="17">
        <v>124.32222222222222</v>
      </c>
      <c r="E99" s="17">
        <v>114.34444444444443</v>
      </c>
      <c r="F99" s="17">
        <v>114.34444444444443</v>
      </c>
      <c r="G99" s="17">
        <v>95.02555555555557</v>
      </c>
      <c r="H99" s="17">
        <v>59.733333333333327</v>
      </c>
      <c r="I99" s="17">
        <v>22.625</v>
      </c>
      <c r="J99" s="17">
        <v>24.444444444444443</v>
      </c>
      <c r="K99" s="17">
        <v>12.222222222222221</v>
      </c>
      <c r="L99" s="17">
        <v>12.222222222222221</v>
      </c>
      <c r="M99" s="17">
        <v>11.111111111111111</v>
      </c>
      <c r="N99" s="17">
        <v>6.9444444444444446</v>
      </c>
      <c r="O99" s="18" t="s">
        <v>8</v>
      </c>
      <c r="P99" s="18" t="s">
        <v>108</v>
      </c>
    </row>
    <row r="100" spans="1:16" x14ac:dyDescent="0.3">
      <c r="A100" s="42" t="s">
        <v>114</v>
      </c>
      <c r="B100" s="22" t="s">
        <v>224</v>
      </c>
      <c r="C100" s="17">
        <v>60.355555555555547</v>
      </c>
      <c r="D100" s="17">
        <v>75.433333333333337</v>
      </c>
      <c r="E100" s="17">
        <v>67.899999999999991</v>
      </c>
      <c r="F100" s="17">
        <v>67.899999999999991</v>
      </c>
      <c r="G100" s="17">
        <v>52.803333333333335</v>
      </c>
      <c r="H100" s="17">
        <v>30.177777777777774</v>
      </c>
      <c r="I100" s="17">
        <v>22.625</v>
      </c>
      <c r="J100" s="17">
        <v>24.444444444444443</v>
      </c>
      <c r="K100" s="17">
        <v>12.222222222222221</v>
      </c>
      <c r="L100" s="17">
        <v>12.222222222222221</v>
      </c>
      <c r="M100" s="17">
        <v>11.111111111111111</v>
      </c>
      <c r="N100" s="17">
        <v>11.111111111111111</v>
      </c>
      <c r="O100" s="18" t="s">
        <v>8</v>
      </c>
      <c r="P100" s="18" t="s">
        <v>108</v>
      </c>
    </row>
    <row r="101" spans="1:16" x14ac:dyDescent="0.3">
      <c r="A101" s="42" t="s">
        <v>115</v>
      </c>
      <c r="B101" s="22" t="s">
        <v>224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8" t="s">
        <v>8</v>
      </c>
      <c r="P101" s="18" t="s">
        <v>108</v>
      </c>
    </row>
    <row r="102" spans="1:16" x14ac:dyDescent="0.3">
      <c r="A102" s="42" t="s">
        <v>142</v>
      </c>
      <c r="B102" s="22" t="s">
        <v>224</v>
      </c>
      <c r="C102" s="17">
        <v>40</v>
      </c>
      <c r="D102" s="17">
        <v>48.888888888888886</v>
      </c>
      <c r="E102" s="17">
        <v>46.444444444444443</v>
      </c>
      <c r="F102" s="17">
        <v>46.444444444444443</v>
      </c>
      <c r="G102" s="17">
        <v>42.222222222222221</v>
      </c>
      <c r="H102" s="17">
        <v>29.555555555555557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8" t="s">
        <v>8</v>
      </c>
      <c r="P102" s="18" t="s">
        <v>108</v>
      </c>
    </row>
    <row r="103" spans="1:16" x14ac:dyDescent="0.3">
      <c r="A103" s="12" t="s">
        <v>143</v>
      </c>
      <c r="B103" s="22" t="s">
        <v>224</v>
      </c>
      <c r="C103" s="17">
        <v>2022.9999999999998</v>
      </c>
      <c r="D103" s="17">
        <v>1934</v>
      </c>
      <c r="E103" s="17">
        <v>1956</v>
      </c>
      <c r="F103" s="17">
        <v>1864.9999999999998</v>
      </c>
      <c r="G103" s="17">
        <v>1739</v>
      </c>
      <c r="H103" s="17">
        <v>1728</v>
      </c>
      <c r="I103" s="17">
        <v>1913.0000000000002</v>
      </c>
      <c r="J103" s="17">
        <v>1940.0000000000002</v>
      </c>
      <c r="K103" s="17">
        <v>1860</v>
      </c>
      <c r="L103" s="17">
        <v>2070</v>
      </c>
      <c r="M103" s="17">
        <v>1998.0555555555554</v>
      </c>
      <c r="N103" s="17">
        <v>2228.8888888888887</v>
      </c>
      <c r="O103" s="18" t="s">
        <v>8</v>
      </c>
      <c r="P103" s="18" t="s">
        <v>108</v>
      </c>
    </row>
    <row r="104" spans="1:16" x14ac:dyDescent="0.3">
      <c r="A104" s="12" t="s">
        <v>144</v>
      </c>
      <c r="B104" s="22" t="s">
        <v>224</v>
      </c>
      <c r="C104" s="17">
        <v>4158.8888888888887</v>
      </c>
      <c r="D104" s="17">
        <v>3868.8888888888891</v>
      </c>
      <c r="E104" s="17">
        <v>3953.0555555555557</v>
      </c>
      <c r="F104" s="17">
        <v>3838.8888888888887</v>
      </c>
      <c r="G104" s="17">
        <v>3470.0000000000005</v>
      </c>
      <c r="H104" s="17">
        <v>3296.9444444444439</v>
      </c>
      <c r="I104" s="17">
        <v>3626.9444444444443</v>
      </c>
      <c r="J104" s="17">
        <v>3700</v>
      </c>
      <c r="K104" s="17">
        <v>3750.0000000000005</v>
      </c>
      <c r="L104" s="17">
        <v>3800</v>
      </c>
      <c r="M104" s="17">
        <v>3638.8888888888887</v>
      </c>
      <c r="N104" s="17">
        <v>3722.2222222222222</v>
      </c>
      <c r="O104" s="18" t="s">
        <v>8</v>
      </c>
      <c r="P104" s="18" t="s">
        <v>108</v>
      </c>
    </row>
    <row r="105" spans="1:16" x14ac:dyDescent="0.3">
      <c r="A105" s="12" t="s">
        <v>145</v>
      </c>
      <c r="B105" s="22" t="s">
        <v>224</v>
      </c>
      <c r="C105" s="17">
        <v>4924.4444444444443</v>
      </c>
      <c r="D105" s="17">
        <v>4239.7222222222217</v>
      </c>
      <c r="E105" s="17">
        <v>4526.9444444444453</v>
      </c>
      <c r="F105" s="17">
        <v>4345.5555555555557</v>
      </c>
      <c r="G105" s="17">
        <v>4320.2777777777774</v>
      </c>
      <c r="H105" s="17">
        <v>4203.6111111111113</v>
      </c>
      <c r="I105" s="17">
        <v>4463.333333333333</v>
      </c>
      <c r="J105" s="17">
        <v>4540.5555555555557</v>
      </c>
      <c r="K105" s="17">
        <v>4583.333333333333</v>
      </c>
      <c r="L105" s="17">
        <v>4400.5555555555557</v>
      </c>
      <c r="M105" s="17">
        <v>4611.1111111111113</v>
      </c>
      <c r="N105" s="17">
        <v>4511.1111111111113</v>
      </c>
      <c r="O105" s="18" t="s">
        <v>8</v>
      </c>
      <c r="P105" s="18" t="s">
        <v>108</v>
      </c>
    </row>
    <row r="106" spans="1:16" x14ac:dyDescent="0.3">
      <c r="A106" s="42" t="s">
        <v>146</v>
      </c>
      <c r="B106" s="22" t="s">
        <v>224</v>
      </c>
      <c r="C106" s="17">
        <v>4924.4444444444443</v>
      </c>
      <c r="D106" s="17">
        <v>4239.7222222222217</v>
      </c>
      <c r="E106" s="17">
        <v>4526.9444444444453</v>
      </c>
      <c r="F106" s="17">
        <v>4345.5555555555557</v>
      </c>
      <c r="G106" s="17">
        <v>4320.2777777777774</v>
      </c>
      <c r="H106" s="17">
        <v>4203.6111111111113</v>
      </c>
      <c r="I106" s="17">
        <v>4463.333333333333</v>
      </c>
      <c r="J106" s="17">
        <v>4540.5555555555557</v>
      </c>
      <c r="K106" s="17">
        <v>4583.333333333333</v>
      </c>
      <c r="L106" s="17">
        <v>4400.5555555555557</v>
      </c>
      <c r="M106" s="17">
        <v>4611.1111111111113</v>
      </c>
      <c r="N106" s="17">
        <v>4511.1111111111113</v>
      </c>
      <c r="O106" s="18" t="s">
        <v>8</v>
      </c>
      <c r="P106" s="18" t="s">
        <v>108</v>
      </c>
    </row>
    <row r="107" spans="1:16" x14ac:dyDescent="0.3">
      <c r="A107" s="42" t="s">
        <v>147</v>
      </c>
      <c r="B107" s="22" t="s">
        <v>224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8" t="s">
        <v>8</v>
      </c>
      <c r="P107" s="18" t="s">
        <v>108</v>
      </c>
    </row>
    <row r="108" spans="1:16" x14ac:dyDescent="0.3">
      <c r="A108" s="47" t="s">
        <v>148</v>
      </c>
      <c r="B108" s="22" t="s">
        <v>224</v>
      </c>
      <c r="C108" s="185">
        <v>11942.222222222223</v>
      </c>
      <c r="D108" s="185">
        <v>10876.944444444443</v>
      </c>
      <c r="E108" s="185">
        <v>11290.833333333334</v>
      </c>
      <c r="F108" s="185">
        <v>10859.196704371021</v>
      </c>
      <c r="G108" s="185">
        <v>10329.10888888889</v>
      </c>
      <c r="H108" s="185">
        <v>9967.0015493322953</v>
      </c>
      <c r="I108" s="185">
        <v>10822.5</v>
      </c>
      <c r="J108" s="185">
        <v>10961.111111111111</v>
      </c>
      <c r="K108" s="185">
        <v>10945.248316317538</v>
      </c>
      <c r="L108" s="185">
        <v>11063.623146193635</v>
      </c>
      <c r="M108" s="185">
        <v>10987.222222222223</v>
      </c>
      <c r="N108" s="185">
        <v>11225.277777777777</v>
      </c>
      <c r="O108" s="18" t="s">
        <v>8</v>
      </c>
      <c r="P108" s="18" t="s">
        <v>108</v>
      </c>
    </row>
    <row r="109" spans="1:16" ht="15.6" x14ac:dyDescent="0.3">
      <c r="A109" s="24" t="s">
        <v>102</v>
      </c>
      <c r="B109" s="25" t="s">
        <v>103</v>
      </c>
      <c r="C109" s="87">
        <f t="shared" ref="C109:N109" si="4">IFERROR((C94+C98+C99+C103+C104+C105+C107)/C108,"")</f>
        <v>1.0000115370301452</v>
      </c>
      <c r="D109" s="87">
        <f t="shared" si="4"/>
        <v>0.99999172561738658</v>
      </c>
      <c r="E109" s="87">
        <f t="shared" si="4"/>
        <v>0.99939884425963965</v>
      </c>
      <c r="F109" s="87">
        <f t="shared" si="4"/>
        <v>1</v>
      </c>
      <c r="G109" s="87">
        <f t="shared" si="4"/>
        <v>0.99999999999999978</v>
      </c>
      <c r="H109" s="87">
        <f t="shared" si="4"/>
        <v>1</v>
      </c>
      <c r="I109" s="87">
        <f t="shared" si="4"/>
        <v>0.9996380600980066</v>
      </c>
      <c r="J109" s="87">
        <f t="shared" si="4"/>
        <v>0.9997743224390041</v>
      </c>
      <c r="K109" s="87">
        <f t="shared" si="4"/>
        <v>1</v>
      </c>
      <c r="L109" s="87">
        <f t="shared" si="4"/>
        <v>0.99999999999999989</v>
      </c>
      <c r="M109" s="87">
        <f t="shared" si="4"/>
        <v>1</v>
      </c>
      <c r="N109" s="87">
        <f t="shared" si="4"/>
        <v>1</v>
      </c>
      <c r="O109" s="8"/>
      <c r="P109" s="28"/>
    </row>
    <row r="110" spans="1:16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8"/>
    </row>
    <row r="111" spans="1:16" ht="15.6" x14ac:dyDescent="0.3">
      <c r="A111" s="8" t="s">
        <v>149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8"/>
    </row>
    <row r="112" spans="1:16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8"/>
    </row>
    <row r="113" spans="1:16" x14ac:dyDescent="0.3">
      <c r="A113" s="12" t="s">
        <v>150</v>
      </c>
      <c r="B113" s="22" t="s">
        <v>224</v>
      </c>
      <c r="C113" s="216">
        <v>751.27777777777771</v>
      </c>
      <c r="D113" s="216">
        <v>926.52777777777771</v>
      </c>
      <c r="E113" s="216">
        <v>940.02777777777783</v>
      </c>
      <c r="F113" s="216">
        <v>928.27777777777783</v>
      </c>
      <c r="G113" s="216">
        <v>1175.5055555555557</v>
      </c>
      <c r="H113" s="216">
        <v>1196.8555555555556</v>
      </c>
      <c r="I113" s="216">
        <v>1127.7777777777778</v>
      </c>
      <c r="J113" s="216">
        <v>1151.1833333333332</v>
      </c>
      <c r="K113" s="216">
        <v>1148.6111111111111</v>
      </c>
      <c r="L113" s="216">
        <v>1064.31</v>
      </c>
      <c r="M113" s="216">
        <v>1021.1111111111111</v>
      </c>
      <c r="N113" s="216">
        <v>748.33333333333337</v>
      </c>
      <c r="O113" s="18" t="s">
        <v>8</v>
      </c>
      <c r="P113" s="18" t="s">
        <v>108</v>
      </c>
    </row>
    <row r="114" spans="1:16" x14ac:dyDescent="0.3">
      <c r="A114" s="42" t="s">
        <v>126</v>
      </c>
      <c r="B114" s="22" t="s">
        <v>224</v>
      </c>
      <c r="C114" s="216">
        <v>0</v>
      </c>
      <c r="D114" s="216">
        <v>0</v>
      </c>
      <c r="E114" s="216">
        <v>12.638888888888889</v>
      </c>
      <c r="F114" s="216">
        <v>12.638888888888889</v>
      </c>
      <c r="G114" s="216">
        <v>12.638888888888889</v>
      </c>
      <c r="H114" s="216">
        <v>25.277777777777779</v>
      </c>
      <c r="I114" s="216">
        <v>25.277777777777779</v>
      </c>
      <c r="J114" s="216">
        <v>25.277777777777779</v>
      </c>
      <c r="K114" s="216">
        <v>12.777777777777777</v>
      </c>
      <c r="L114" s="216">
        <v>25.277777777777779</v>
      </c>
      <c r="M114" s="216">
        <v>29.999999999999996</v>
      </c>
      <c r="N114" s="216">
        <v>12.777777777777777</v>
      </c>
      <c r="O114" s="18" t="s">
        <v>8</v>
      </c>
      <c r="P114" s="18" t="s">
        <v>108</v>
      </c>
    </row>
    <row r="115" spans="1:16" x14ac:dyDescent="0.3">
      <c r="A115" s="42" t="s">
        <v>138</v>
      </c>
      <c r="B115" s="22" t="s">
        <v>224</v>
      </c>
      <c r="C115" s="216">
        <v>740.25</v>
      </c>
      <c r="D115" s="216">
        <v>904.75000000000011</v>
      </c>
      <c r="E115" s="216">
        <v>916.5</v>
      </c>
      <c r="F115" s="216">
        <v>904.75000000000011</v>
      </c>
      <c r="G115" s="216">
        <v>1151.9722222222224</v>
      </c>
      <c r="H115" s="216">
        <v>1128</v>
      </c>
      <c r="I115" s="216">
        <v>1057.5</v>
      </c>
      <c r="J115" s="216">
        <v>1093.2222222222219</v>
      </c>
      <c r="K115" s="216">
        <v>1104.4444444444446</v>
      </c>
      <c r="L115" s="216">
        <v>1008.5277777777778</v>
      </c>
      <c r="M115" s="216">
        <v>969.72222222222217</v>
      </c>
      <c r="N115" s="216">
        <v>705</v>
      </c>
      <c r="O115" s="18" t="s">
        <v>8</v>
      </c>
      <c r="P115" s="18" t="s">
        <v>108</v>
      </c>
    </row>
    <row r="116" spans="1:16" x14ac:dyDescent="0.3">
      <c r="A116" s="42" t="s">
        <v>139</v>
      </c>
      <c r="B116" s="22" t="s">
        <v>224</v>
      </c>
      <c r="C116" s="216">
        <v>11.027777777777779</v>
      </c>
      <c r="D116" s="216">
        <v>21.777777777777779</v>
      </c>
      <c r="E116" s="216">
        <v>10.888888888888889</v>
      </c>
      <c r="F116" s="216">
        <v>10.888888888888889</v>
      </c>
      <c r="G116" s="216">
        <v>10.894444444444444</v>
      </c>
      <c r="H116" s="216">
        <v>43.577777777777776</v>
      </c>
      <c r="I116" s="216">
        <v>45</v>
      </c>
      <c r="J116" s="216">
        <v>32.68333333333333</v>
      </c>
      <c r="K116" s="216">
        <v>31.388888888888889</v>
      </c>
      <c r="L116" s="216">
        <v>30.504444444444445</v>
      </c>
      <c r="M116" s="216">
        <v>21.388888888888889</v>
      </c>
      <c r="N116" s="216">
        <v>30.55555555555555</v>
      </c>
      <c r="O116" s="18" t="s">
        <v>8</v>
      </c>
      <c r="P116" s="18" t="s">
        <v>108</v>
      </c>
    </row>
    <row r="117" spans="1:16" x14ac:dyDescent="0.3">
      <c r="A117" s="12" t="s">
        <v>151</v>
      </c>
      <c r="B117" s="22" t="s">
        <v>224</v>
      </c>
      <c r="C117" s="216">
        <v>97.290383069916956</v>
      </c>
      <c r="D117" s="216">
        <v>83.588781514873375</v>
      </c>
      <c r="E117" s="216">
        <v>95.035475684913749</v>
      </c>
      <c r="F117" s="216">
        <v>84.846220517938761</v>
      </c>
      <c r="G117" s="216">
        <v>63.249999999999993</v>
      </c>
      <c r="H117" s="216">
        <v>70.251011999942392</v>
      </c>
      <c r="I117" s="216">
        <v>53.888888888888886</v>
      </c>
      <c r="J117" s="216">
        <v>50.794060179757714</v>
      </c>
      <c r="K117" s="216">
        <v>50</v>
      </c>
      <c r="L117" s="216">
        <v>47.56645742061751</v>
      </c>
      <c r="M117" s="216">
        <v>41.666666666666664</v>
      </c>
      <c r="N117" s="216">
        <v>34.44444444444445</v>
      </c>
      <c r="O117" s="14" t="s">
        <v>8</v>
      </c>
      <c r="P117" s="18" t="s">
        <v>108</v>
      </c>
    </row>
    <row r="118" spans="1:16" x14ac:dyDescent="0.3">
      <c r="A118" s="12" t="s">
        <v>152</v>
      </c>
      <c r="B118" s="22" t="s">
        <v>224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  <c r="H118" s="216">
        <v>0</v>
      </c>
      <c r="I118" s="216">
        <v>35.833333333333343</v>
      </c>
      <c r="J118" s="216">
        <v>12.222222222222221</v>
      </c>
      <c r="K118" s="216">
        <v>6.1111111111111107</v>
      </c>
      <c r="L118" s="216">
        <v>6.416666666666667</v>
      </c>
      <c r="M118" s="216">
        <v>1.6666666666666665</v>
      </c>
      <c r="N118" s="216">
        <v>3.333333333333333</v>
      </c>
      <c r="O118" s="14" t="s">
        <v>8</v>
      </c>
      <c r="P118" s="18" t="s">
        <v>108</v>
      </c>
    </row>
    <row r="119" spans="1:16" x14ac:dyDescent="0.3">
      <c r="A119" s="42" t="s">
        <v>114</v>
      </c>
      <c r="B119" s="22" t="s">
        <v>224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  <c r="H119" s="216">
        <v>0</v>
      </c>
      <c r="I119" s="216">
        <v>30.277777777777782</v>
      </c>
      <c r="J119" s="216">
        <v>12.222222222222221</v>
      </c>
      <c r="K119" s="216">
        <v>6.1111111111111107</v>
      </c>
      <c r="L119" s="216">
        <v>6.416666666666667</v>
      </c>
      <c r="M119" s="216">
        <v>1.6666666666666665</v>
      </c>
      <c r="N119" s="216">
        <v>3.333333333333333</v>
      </c>
      <c r="O119" s="14" t="s">
        <v>8</v>
      </c>
      <c r="P119" s="18" t="s">
        <v>108</v>
      </c>
    </row>
    <row r="120" spans="1:16" x14ac:dyDescent="0.3">
      <c r="A120" s="42" t="s">
        <v>115</v>
      </c>
      <c r="B120" s="22" t="s">
        <v>224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14" t="s">
        <v>8</v>
      </c>
      <c r="P120" s="18" t="s">
        <v>108</v>
      </c>
    </row>
    <row r="121" spans="1:16" x14ac:dyDescent="0.3">
      <c r="A121" s="42" t="s">
        <v>142</v>
      </c>
      <c r="B121" s="22" t="s">
        <v>224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  <c r="H121" s="216">
        <v>0</v>
      </c>
      <c r="I121" s="216">
        <v>5.5555555555555554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14" t="s">
        <v>8</v>
      </c>
      <c r="P121" s="18" t="s">
        <v>108</v>
      </c>
    </row>
    <row r="122" spans="1:16" x14ac:dyDescent="0.3">
      <c r="A122" s="12" t="s">
        <v>153</v>
      </c>
      <c r="B122" s="22" t="s">
        <v>224</v>
      </c>
      <c r="C122" s="216">
        <v>186</v>
      </c>
      <c r="D122" s="216">
        <v>180</v>
      </c>
      <c r="E122" s="216">
        <v>210.99999999999997</v>
      </c>
      <c r="F122" s="216">
        <v>198</v>
      </c>
      <c r="G122" s="216">
        <v>195</v>
      </c>
      <c r="H122" s="216">
        <v>197</v>
      </c>
      <c r="I122" s="216">
        <v>208.88888888888891</v>
      </c>
      <c r="J122" s="216">
        <v>236</v>
      </c>
      <c r="K122" s="216">
        <v>160</v>
      </c>
      <c r="L122" s="216">
        <v>134</v>
      </c>
      <c r="M122" s="216">
        <v>135.27777777777777</v>
      </c>
      <c r="N122" s="216">
        <v>156.11111111111111</v>
      </c>
      <c r="O122" s="14" t="s">
        <v>8</v>
      </c>
      <c r="P122" s="18" t="s">
        <v>108</v>
      </c>
    </row>
    <row r="123" spans="1:16" x14ac:dyDescent="0.3">
      <c r="A123" s="12" t="s">
        <v>154</v>
      </c>
      <c r="B123" s="22" t="s">
        <v>224</v>
      </c>
      <c r="C123" s="216">
        <v>19.444444444444443</v>
      </c>
      <c r="D123" s="216">
        <v>25.277777777777779</v>
      </c>
      <c r="E123" s="216">
        <v>18.888888888888889</v>
      </c>
      <c r="F123" s="216">
        <v>12.222222222222221</v>
      </c>
      <c r="G123" s="216">
        <v>13.888888888888889</v>
      </c>
      <c r="H123" s="216">
        <v>21.388888888888889</v>
      </c>
      <c r="I123" s="216">
        <v>21.666666666666668</v>
      </c>
      <c r="J123" s="216">
        <v>20.555555555555554</v>
      </c>
      <c r="K123" s="216">
        <v>18.888888888888889</v>
      </c>
      <c r="L123" s="216">
        <v>18.055555555555554</v>
      </c>
      <c r="M123" s="216">
        <v>17.222222222222225</v>
      </c>
      <c r="N123" s="216">
        <v>19.444444444444443</v>
      </c>
      <c r="O123" s="14" t="s">
        <v>8</v>
      </c>
      <c r="P123" s="18" t="s">
        <v>108</v>
      </c>
    </row>
    <row r="124" spans="1:16" x14ac:dyDescent="0.3">
      <c r="A124" s="12" t="s">
        <v>155</v>
      </c>
      <c r="B124" s="22" t="s">
        <v>224</v>
      </c>
      <c r="C124" s="216">
        <v>50.555555555555557</v>
      </c>
      <c r="D124" s="216">
        <v>45.277777777777779</v>
      </c>
      <c r="E124" s="216">
        <v>13.888888888888889</v>
      </c>
      <c r="F124" s="216">
        <v>49.722222222222221</v>
      </c>
      <c r="G124" s="216">
        <v>68.617000000000004</v>
      </c>
      <c r="H124" s="216">
        <v>47.222222222222221</v>
      </c>
      <c r="I124" s="216">
        <v>60.833333333333321</v>
      </c>
      <c r="J124" s="216">
        <v>61.666666666666664</v>
      </c>
      <c r="K124" s="216">
        <v>60.555555555555564</v>
      </c>
      <c r="L124" s="216">
        <v>47.499999999999993</v>
      </c>
      <c r="M124" s="216">
        <v>55.833333333333321</v>
      </c>
      <c r="N124" s="216">
        <v>29.166666666666664</v>
      </c>
      <c r="O124" s="14" t="s">
        <v>8</v>
      </c>
      <c r="P124" s="18" t="s">
        <v>108</v>
      </c>
    </row>
    <row r="125" spans="1:16" x14ac:dyDescent="0.3">
      <c r="A125" s="47" t="s">
        <v>156</v>
      </c>
      <c r="B125" s="22" t="s">
        <v>224</v>
      </c>
      <c r="C125" s="287">
        <v>1104.5681608476946</v>
      </c>
      <c r="D125" s="287">
        <v>1260.672114848207</v>
      </c>
      <c r="E125" s="287">
        <v>1278.8410312404692</v>
      </c>
      <c r="F125" s="287">
        <v>1273.0684427401611</v>
      </c>
      <c r="G125" s="287">
        <v>1516.2614444444446</v>
      </c>
      <c r="H125" s="287">
        <v>1532.7176786666089</v>
      </c>
      <c r="I125" s="287">
        <v>1508.8888888888889</v>
      </c>
      <c r="J125" s="287">
        <v>1532.4218379575354</v>
      </c>
      <c r="K125" s="287">
        <v>1444.1666666666667</v>
      </c>
      <c r="L125" s="287">
        <v>1317.8486796428397</v>
      </c>
      <c r="M125" s="287">
        <v>1272.7777777777776</v>
      </c>
      <c r="N125" s="287">
        <v>990.83333333333326</v>
      </c>
      <c r="O125" s="14" t="s">
        <v>8</v>
      </c>
      <c r="P125" s="18" t="s">
        <v>108</v>
      </c>
    </row>
    <row r="126" spans="1:16" x14ac:dyDescent="0.3">
      <c r="A126" s="24" t="s">
        <v>102</v>
      </c>
      <c r="B126" s="25" t="s">
        <v>103</v>
      </c>
      <c r="C126" s="87">
        <f t="shared" ref="C126:N126" si="5">IFERROR((C113+C117+C118+C122+C123+C124)/C125,"")</f>
        <v>1.0000000000000002</v>
      </c>
      <c r="D126" s="87">
        <f t="shared" si="5"/>
        <v>0.99999999999999978</v>
      </c>
      <c r="E126" s="87">
        <f t="shared" si="5"/>
        <v>1.0000000000000002</v>
      </c>
      <c r="F126" s="87">
        <f t="shared" si="5"/>
        <v>0.99999999999999978</v>
      </c>
      <c r="G126" s="87">
        <f t="shared" si="5"/>
        <v>1</v>
      </c>
      <c r="H126" s="87">
        <f t="shared" si="5"/>
        <v>1.0000000000000002</v>
      </c>
      <c r="I126" s="87">
        <f t="shared" si="5"/>
        <v>1</v>
      </c>
      <c r="J126" s="87">
        <f t="shared" si="5"/>
        <v>1</v>
      </c>
      <c r="K126" s="87">
        <f t="shared" si="5"/>
        <v>1</v>
      </c>
      <c r="L126" s="87">
        <f t="shared" si="5"/>
        <v>1.0000000000000002</v>
      </c>
      <c r="M126" s="87">
        <f t="shared" si="5"/>
        <v>1.0000000000000002</v>
      </c>
      <c r="N126" s="87">
        <f t="shared" si="5"/>
        <v>1.0000000000000002</v>
      </c>
      <c r="O126" s="14"/>
      <c r="P126" s="28"/>
    </row>
    <row r="127" spans="1:16" ht="15.6" x14ac:dyDescent="0.3">
      <c r="A127" s="8" t="s">
        <v>225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8"/>
    </row>
    <row r="128" spans="1:16" ht="15.6" x14ac:dyDescent="0.3">
      <c r="A128" s="1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8"/>
    </row>
    <row r="129" spans="1:16" x14ac:dyDescent="0.3">
      <c r="A129" s="12" t="s">
        <v>158</v>
      </c>
      <c r="B129" s="22" t="s">
        <v>224</v>
      </c>
      <c r="C129" s="295">
        <v>340.07055555555553</v>
      </c>
      <c r="D129" s="295">
        <v>493.40388888888884</v>
      </c>
      <c r="E129" s="295">
        <v>504.88888888888886</v>
      </c>
      <c r="F129" s="295">
        <v>458.27777777777777</v>
      </c>
      <c r="G129" s="295">
        <v>352.15</v>
      </c>
      <c r="H129" s="295">
        <v>386.54444444444448</v>
      </c>
      <c r="I129" s="295">
        <v>305.83333333333331</v>
      </c>
      <c r="J129" s="295">
        <v>349.44444444444446</v>
      </c>
      <c r="K129" s="295">
        <v>318.33333333333331</v>
      </c>
      <c r="L129" s="295">
        <v>297.77777777777777</v>
      </c>
      <c r="M129" s="295">
        <v>294.44444444444451</v>
      </c>
      <c r="N129" s="295">
        <v>260.83333333333331</v>
      </c>
      <c r="O129" s="18" t="s">
        <v>8</v>
      </c>
      <c r="P129" s="18" t="s">
        <v>108</v>
      </c>
    </row>
    <row r="130" spans="1:16" x14ac:dyDescent="0.3">
      <c r="A130" s="42" t="s">
        <v>126</v>
      </c>
      <c r="B130" s="22" t="s">
        <v>224</v>
      </c>
      <c r="C130" s="216">
        <v>12.515000000000001</v>
      </c>
      <c r="D130" s="216">
        <v>12.515000000000001</v>
      </c>
      <c r="E130" s="216">
        <v>12.638888888888889</v>
      </c>
      <c r="F130" s="216">
        <v>12.638888888888889</v>
      </c>
      <c r="G130" s="216">
        <v>12.638888888888889</v>
      </c>
      <c r="H130" s="216">
        <v>12.638888888888889</v>
      </c>
      <c r="I130" s="216">
        <v>25.277777777777779</v>
      </c>
      <c r="J130" s="216">
        <v>38.055555555555557</v>
      </c>
      <c r="K130" s="216">
        <v>12.777777777777777</v>
      </c>
      <c r="L130" s="216">
        <v>25.277777777777779</v>
      </c>
      <c r="M130" s="216">
        <v>26.111111111111114</v>
      </c>
      <c r="N130" s="216">
        <v>18.888888888888889</v>
      </c>
      <c r="O130" s="18" t="s">
        <v>8</v>
      </c>
      <c r="P130" s="18" t="s">
        <v>108</v>
      </c>
    </row>
    <row r="131" spans="1:16" x14ac:dyDescent="0.3">
      <c r="A131" s="42" t="s">
        <v>138</v>
      </c>
      <c r="B131" s="22" t="s">
        <v>224</v>
      </c>
      <c r="C131" s="216">
        <v>305.5</v>
      </c>
      <c r="D131" s="216">
        <v>470</v>
      </c>
      <c r="E131" s="216">
        <v>470.47222222222223</v>
      </c>
      <c r="F131" s="216">
        <v>434.74999999999994</v>
      </c>
      <c r="G131" s="216">
        <v>317.72222222222223</v>
      </c>
      <c r="H131" s="216">
        <v>341.22222222222223</v>
      </c>
      <c r="I131" s="216">
        <v>246.66666666666666</v>
      </c>
      <c r="J131" s="216">
        <v>293.88888888888886</v>
      </c>
      <c r="K131" s="216">
        <v>270.27777777777777</v>
      </c>
      <c r="L131" s="216">
        <v>235</v>
      </c>
      <c r="M131" s="216">
        <v>258.61111111111114</v>
      </c>
      <c r="N131" s="216">
        <v>235</v>
      </c>
      <c r="O131" s="18" t="s">
        <v>8</v>
      </c>
      <c r="P131" s="18" t="s">
        <v>108</v>
      </c>
    </row>
    <row r="132" spans="1:16" x14ac:dyDescent="0.3">
      <c r="A132" s="42" t="s">
        <v>139</v>
      </c>
      <c r="B132" s="22" t="s">
        <v>224</v>
      </c>
      <c r="C132" s="216">
        <v>22.055555555555557</v>
      </c>
      <c r="D132" s="216">
        <v>10.888888888888889</v>
      </c>
      <c r="E132" s="216">
        <v>21.777777777777779</v>
      </c>
      <c r="F132" s="216">
        <v>10.888888888888889</v>
      </c>
      <c r="G132" s="216">
        <v>21.788888888888888</v>
      </c>
      <c r="H132" s="216">
        <v>32.68333333333333</v>
      </c>
      <c r="I132" s="216">
        <v>33.888888888888886</v>
      </c>
      <c r="J132" s="216">
        <v>17.5</v>
      </c>
      <c r="K132" s="216">
        <v>35.277777777777779</v>
      </c>
      <c r="L132" s="216">
        <v>37.5</v>
      </c>
      <c r="M132" s="216">
        <v>9.7222222222222214</v>
      </c>
      <c r="N132" s="216">
        <v>6.9444444444444446</v>
      </c>
      <c r="O132" s="18" t="s">
        <v>8</v>
      </c>
      <c r="P132" s="18" t="s">
        <v>108</v>
      </c>
    </row>
    <row r="133" spans="1:16" x14ac:dyDescent="0.3">
      <c r="A133" s="12" t="s">
        <v>159</v>
      </c>
      <c r="B133" s="22" t="s">
        <v>224</v>
      </c>
      <c r="C133" s="216">
        <v>345.83333333333331</v>
      </c>
      <c r="D133" s="216">
        <v>360.55555555555554</v>
      </c>
      <c r="E133" s="216">
        <v>405.55555555555554</v>
      </c>
      <c r="F133" s="216">
        <v>503.88888888888886</v>
      </c>
      <c r="G133" s="216">
        <v>777.24999999999966</v>
      </c>
      <c r="H133" s="216">
        <v>813.88888888888891</v>
      </c>
      <c r="I133" s="216">
        <v>922.5</v>
      </c>
      <c r="J133" s="216">
        <v>848.88888888888891</v>
      </c>
      <c r="K133" s="216">
        <v>886.38888888888891</v>
      </c>
      <c r="L133" s="216">
        <v>853.61111111111109</v>
      </c>
      <c r="M133" s="216">
        <v>875</v>
      </c>
      <c r="N133" s="216">
        <v>925.55555555555554</v>
      </c>
      <c r="O133" s="14" t="s">
        <v>8</v>
      </c>
      <c r="P133" s="18" t="s">
        <v>108</v>
      </c>
    </row>
    <row r="134" spans="1:16" x14ac:dyDescent="0.3">
      <c r="A134" s="12" t="s">
        <v>160</v>
      </c>
      <c r="B134" s="22" t="s">
        <v>224</v>
      </c>
      <c r="C134" s="216">
        <v>26.944444444444443</v>
      </c>
      <c r="D134" s="216">
        <v>19.444444444444443</v>
      </c>
      <c r="E134" s="216">
        <v>23.333333333333336</v>
      </c>
      <c r="F134" s="216">
        <v>38.611111111111114</v>
      </c>
      <c r="G134" s="216">
        <v>23.333333333333336</v>
      </c>
      <c r="H134" s="216">
        <v>8.3333333333333339</v>
      </c>
      <c r="I134" s="216">
        <v>8.3333333333333339</v>
      </c>
      <c r="J134" s="216">
        <v>0</v>
      </c>
      <c r="K134" s="216">
        <v>12.222222222222221</v>
      </c>
      <c r="L134" s="216">
        <v>11.111111111111111</v>
      </c>
      <c r="M134" s="216">
        <v>11.944444444444445</v>
      </c>
      <c r="N134" s="216">
        <v>11.666666666666666</v>
      </c>
      <c r="O134" s="14" t="s">
        <v>8</v>
      </c>
      <c r="P134" s="18" t="s">
        <v>108</v>
      </c>
    </row>
    <row r="135" spans="1:16" x14ac:dyDescent="0.3">
      <c r="A135" s="42" t="s">
        <v>114</v>
      </c>
      <c r="B135" s="22" t="s">
        <v>224</v>
      </c>
      <c r="C135" s="216">
        <v>22.5</v>
      </c>
      <c r="D135" s="216">
        <v>15</v>
      </c>
      <c r="E135" s="216">
        <v>15</v>
      </c>
      <c r="F135" s="216">
        <v>30.277777777777779</v>
      </c>
      <c r="G135" s="216">
        <v>15</v>
      </c>
      <c r="H135" s="216">
        <v>0</v>
      </c>
      <c r="I135" s="216">
        <v>0</v>
      </c>
      <c r="J135" s="216">
        <v>0</v>
      </c>
      <c r="K135" s="216">
        <v>12.222222222222221</v>
      </c>
      <c r="L135" s="216">
        <v>11.111111111111111</v>
      </c>
      <c r="M135" s="216">
        <v>11.944444444444445</v>
      </c>
      <c r="N135" s="216">
        <v>11.666666666666666</v>
      </c>
      <c r="O135" s="14" t="s">
        <v>8</v>
      </c>
      <c r="P135" s="18" t="s">
        <v>108</v>
      </c>
    </row>
    <row r="136" spans="1:16" x14ac:dyDescent="0.3">
      <c r="A136" s="42" t="s">
        <v>115</v>
      </c>
      <c r="B136" s="22" t="s">
        <v>224</v>
      </c>
      <c r="C136" s="216">
        <v>0</v>
      </c>
      <c r="D136" s="216">
        <v>0</v>
      </c>
      <c r="E136" s="216"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  <c r="O136" s="14" t="s">
        <v>8</v>
      </c>
      <c r="P136" s="18" t="s">
        <v>108</v>
      </c>
    </row>
    <row r="137" spans="1:16" x14ac:dyDescent="0.3">
      <c r="A137" s="42" t="s">
        <v>142</v>
      </c>
      <c r="B137" s="22" t="s">
        <v>224</v>
      </c>
      <c r="C137" s="216">
        <v>4.4444444444444446</v>
      </c>
      <c r="D137" s="216">
        <v>4.4444444444444446</v>
      </c>
      <c r="E137" s="216">
        <v>8.3333333333333339</v>
      </c>
      <c r="F137" s="216">
        <v>8.3333333333333339</v>
      </c>
      <c r="G137" s="216">
        <v>8.3333333333333339</v>
      </c>
      <c r="H137" s="216">
        <v>8.3333333333333339</v>
      </c>
      <c r="I137" s="216">
        <v>8.3333333333333339</v>
      </c>
      <c r="J137" s="216">
        <v>0</v>
      </c>
      <c r="K137" s="216">
        <v>0</v>
      </c>
      <c r="L137" s="216">
        <v>0</v>
      </c>
      <c r="M137" s="216">
        <v>0</v>
      </c>
      <c r="N137" s="216">
        <v>0</v>
      </c>
      <c r="O137" s="14" t="s">
        <v>8</v>
      </c>
      <c r="P137" s="18" t="s">
        <v>108</v>
      </c>
    </row>
    <row r="138" spans="1:16" x14ac:dyDescent="0.3">
      <c r="A138" s="12" t="s">
        <v>161</v>
      </c>
      <c r="B138" s="22" t="s">
        <v>224</v>
      </c>
      <c r="C138" s="216">
        <v>2511</v>
      </c>
      <c r="D138" s="216">
        <v>2378.0000000000005</v>
      </c>
      <c r="E138" s="216">
        <v>2536</v>
      </c>
      <c r="F138" s="216">
        <v>2530</v>
      </c>
      <c r="G138" s="216">
        <v>2795</v>
      </c>
      <c r="H138" s="216">
        <v>2813.0000000000005</v>
      </c>
      <c r="I138" s="216">
        <v>2971.1111111111109</v>
      </c>
      <c r="J138" s="216">
        <v>2715.5555555555557</v>
      </c>
      <c r="K138" s="216">
        <v>2930.76</v>
      </c>
      <c r="L138" s="216">
        <v>2921.1111111111109</v>
      </c>
      <c r="M138" s="216">
        <v>2846.1111111111109</v>
      </c>
      <c r="N138" s="216">
        <v>3256.1111111111104</v>
      </c>
      <c r="O138" s="14" t="s">
        <v>8</v>
      </c>
      <c r="P138" s="18" t="s">
        <v>108</v>
      </c>
    </row>
    <row r="139" spans="1:16" x14ac:dyDescent="0.3">
      <c r="A139" s="12" t="s">
        <v>162</v>
      </c>
      <c r="B139" s="22" t="s">
        <v>224</v>
      </c>
      <c r="C139" s="216">
        <v>1496.9444444444441</v>
      </c>
      <c r="D139" s="216">
        <v>1196.9444444444443</v>
      </c>
      <c r="E139" s="216">
        <v>1316.9444444444443</v>
      </c>
      <c r="F139" s="216">
        <v>1186.1111111111111</v>
      </c>
      <c r="G139" s="216">
        <v>1251.1111111111111</v>
      </c>
      <c r="H139" s="216">
        <v>1256.1111111111111</v>
      </c>
      <c r="I139" s="216">
        <v>1405.5555555555554</v>
      </c>
      <c r="J139" s="216">
        <v>1383.3333333333333</v>
      </c>
      <c r="K139" s="216">
        <v>1416.6666666666667</v>
      </c>
      <c r="L139" s="216">
        <v>1194.4444444444443</v>
      </c>
      <c r="M139" s="216">
        <v>1277.7777777777778</v>
      </c>
      <c r="N139" s="216">
        <v>1354.4444444444443</v>
      </c>
      <c r="O139" s="14" t="s">
        <v>8</v>
      </c>
      <c r="P139" s="18" t="s">
        <v>108</v>
      </c>
    </row>
    <row r="140" spans="1:16" x14ac:dyDescent="0.3">
      <c r="A140" s="12" t="s">
        <v>163</v>
      </c>
      <c r="B140" s="22" t="s">
        <v>224</v>
      </c>
      <c r="C140" s="216">
        <v>213.05555555555554</v>
      </c>
      <c r="D140" s="216">
        <v>228.88888888888889</v>
      </c>
      <c r="E140" s="216">
        <v>138.61111111111111</v>
      </c>
      <c r="F140" s="216">
        <v>143.33333333333334</v>
      </c>
      <c r="G140" s="216">
        <v>123.33333333333331</v>
      </c>
      <c r="H140" s="216">
        <v>134.44444444444443</v>
      </c>
      <c r="I140" s="216">
        <v>175.27777777777774</v>
      </c>
      <c r="J140" s="216">
        <v>153.88888888888889</v>
      </c>
      <c r="K140" s="216">
        <v>135.83333333333334</v>
      </c>
      <c r="L140" s="216">
        <v>156.9444444444444</v>
      </c>
      <c r="M140" s="216">
        <v>178.61111111111111</v>
      </c>
      <c r="N140" s="216">
        <v>100</v>
      </c>
      <c r="O140" s="14" t="s">
        <v>8</v>
      </c>
      <c r="P140" s="18" t="s">
        <v>108</v>
      </c>
    </row>
    <row r="141" spans="1:16" x14ac:dyDescent="0.3">
      <c r="A141" s="47" t="s">
        <v>164</v>
      </c>
      <c r="B141" s="22" t="s">
        <v>224</v>
      </c>
      <c r="C141" s="287">
        <v>4933.8888888888887</v>
      </c>
      <c r="D141" s="287">
        <v>4677.2222222222217</v>
      </c>
      <c r="E141" s="287">
        <v>4925.5555555555557</v>
      </c>
      <c r="F141" s="287">
        <v>4860</v>
      </c>
      <c r="G141" s="287">
        <v>5322.5</v>
      </c>
      <c r="H141" s="287">
        <v>5412.5</v>
      </c>
      <c r="I141" s="287">
        <v>5794.4444444444443</v>
      </c>
      <c r="J141" s="287">
        <v>5450.5555555555557</v>
      </c>
      <c r="K141" s="287">
        <v>5701.9444444444443</v>
      </c>
      <c r="L141" s="287">
        <v>5434.7222222222217</v>
      </c>
      <c r="M141" s="287">
        <v>5483.6111111111113</v>
      </c>
      <c r="N141" s="287">
        <v>5908.6111111111113</v>
      </c>
      <c r="O141" s="27"/>
      <c r="P141" s="18" t="s">
        <v>108</v>
      </c>
    </row>
    <row r="142" spans="1:16" x14ac:dyDescent="0.3">
      <c r="A142" s="24" t="s">
        <v>102</v>
      </c>
      <c r="B142" s="25" t="s">
        <v>103</v>
      </c>
      <c r="C142" s="87">
        <f t="shared" ref="C142:N142" si="6">IFERROR((C129+C133+C134+C138+C139+C140)/C141,"")</f>
        <v>0.99999178020493196</v>
      </c>
      <c r="D142" s="87">
        <f t="shared" si="6"/>
        <v>1.000003207031714</v>
      </c>
      <c r="E142" s="87">
        <f t="shared" si="6"/>
        <v>0.99995488382585163</v>
      </c>
      <c r="F142" s="87">
        <f t="shared" si="6"/>
        <v>1.0000457247370826</v>
      </c>
      <c r="G142" s="87">
        <f t="shared" si="6"/>
        <v>0.99993946036219394</v>
      </c>
      <c r="H142" s="87">
        <f t="shared" si="6"/>
        <v>0.99996715422119598</v>
      </c>
      <c r="I142" s="87">
        <f t="shared" si="6"/>
        <v>0.99899328859060388</v>
      </c>
      <c r="J142" s="87">
        <f t="shared" si="6"/>
        <v>1.0001019264091326</v>
      </c>
      <c r="K142" s="87">
        <f t="shared" si="6"/>
        <v>0.99969484094119943</v>
      </c>
      <c r="L142" s="87">
        <f t="shared" si="6"/>
        <v>1.0000511116790185</v>
      </c>
      <c r="M142" s="87">
        <f t="shared" si="6"/>
        <v>1.000050655995137</v>
      </c>
      <c r="N142" s="87">
        <f t="shared" si="6"/>
        <v>0.99999999999999989</v>
      </c>
      <c r="O142" s="27"/>
      <c r="P142" s="28"/>
    </row>
    <row r="143" spans="1:16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</row>
    <row r="144" spans="1:16" ht="15.6" x14ac:dyDescent="0.3">
      <c r="A144" s="8" t="s">
        <v>165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</row>
    <row r="145" spans="1:16" ht="15.6" x14ac:dyDescent="0.3">
      <c r="A145" s="8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</row>
    <row r="146" spans="1:16" x14ac:dyDescent="0.3">
      <c r="A146" s="12" t="s">
        <v>166</v>
      </c>
      <c r="B146" s="22" t="s">
        <v>224</v>
      </c>
      <c r="C146" s="216">
        <v>1188.4083333333335</v>
      </c>
      <c r="D146" s="216">
        <v>1528.741666666667</v>
      </c>
      <c r="E146" s="216">
        <v>1541.5833333333333</v>
      </c>
      <c r="F146" s="216">
        <v>1471.4722222222219</v>
      </c>
      <c r="G146" s="216">
        <v>1625.2111111111112</v>
      </c>
      <c r="H146" s="216">
        <v>1693.5944444444442</v>
      </c>
      <c r="I146" s="216">
        <v>1557.3333333333333</v>
      </c>
      <c r="J146" s="216">
        <v>1612.6</v>
      </c>
      <c r="K146" s="216">
        <v>1566.2777777777776</v>
      </c>
      <c r="L146" s="216">
        <v>1470.2683333333334</v>
      </c>
      <c r="M146" s="216">
        <v>1389.7222222222222</v>
      </c>
      <c r="N146" s="216">
        <v>1063.8888888888887</v>
      </c>
      <c r="O146" s="14" t="s">
        <v>8</v>
      </c>
      <c r="P146" s="18" t="s">
        <v>108</v>
      </c>
    </row>
    <row r="147" spans="1:16" x14ac:dyDescent="0.3">
      <c r="A147" s="42" t="s">
        <v>126</v>
      </c>
      <c r="B147" s="22" t="s">
        <v>224</v>
      </c>
      <c r="C147" s="216">
        <v>62.574999999999996</v>
      </c>
      <c r="D147" s="216">
        <v>62.574999999999996</v>
      </c>
      <c r="E147" s="216">
        <v>63.194444444444443</v>
      </c>
      <c r="F147" s="216">
        <v>63.194444444444443</v>
      </c>
      <c r="G147" s="216">
        <v>75.833333333333329</v>
      </c>
      <c r="H147" s="216">
        <v>101.11111111111111</v>
      </c>
      <c r="I147" s="216">
        <v>139.02777777777777</v>
      </c>
      <c r="J147" s="216">
        <v>151.80555555555554</v>
      </c>
      <c r="K147" s="216">
        <v>101.38888888888889</v>
      </c>
      <c r="L147" s="216">
        <v>135.23611111111109</v>
      </c>
      <c r="M147" s="216">
        <v>106.66666666666666</v>
      </c>
      <c r="N147" s="216">
        <v>74.722222222222214</v>
      </c>
      <c r="O147" s="14" t="s">
        <v>8</v>
      </c>
      <c r="P147" s="18" t="s">
        <v>108</v>
      </c>
    </row>
    <row r="148" spans="1:16" x14ac:dyDescent="0.3">
      <c r="A148" s="42" t="s">
        <v>138</v>
      </c>
      <c r="B148" s="22" t="s">
        <v>224</v>
      </c>
      <c r="C148" s="216">
        <v>1092.7499999999998</v>
      </c>
      <c r="D148" s="216">
        <v>1433.5</v>
      </c>
      <c r="E148" s="216">
        <v>1445.7222222222224</v>
      </c>
      <c r="F148" s="216">
        <v>1386.4999999999998</v>
      </c>
      <c r="G148" s="216">
        <v>1516.6944444444446</v>
      </c>
      <c r="H148" s="216">
        <v>1516.2222222222222</v>
      </c>
      <c r="I148" s="216">
        <v>1339.4166666666665</v>
      </c>
      <c r="J148" s="216">
        <v>1410.6111111111109</v>
      </c>
      <c r="K148" s="216">
        <v>1398.2222222222224</v>
      </c>
      <c r="L148" s="216">
        <v>1267.0277777777778</v>
      </c>
      <c r="M148" s="216">
        <v>1251.9444444444443</v>
      </c>
      <c r="N148" s="216">
        <v>951.66666666666663</v>
      </c>
      <c r="O148" s="14" t="s">
        <v>8</v>
      </c>
      <c r="P148" s="18" t="s">
        <v>108</v>
      </c>
    </row>
    <row r="149" spans="1:16" x14ac:dyDescent="0.3">
      <c r="A149" s="42" t="s">
        <v>139</v>
      </c>
      <c r="B149" s="22" t="s">
        <v>224</v>
      </c>
      <c r="C149" s="216">
        <v>33.083333333333336</v>
      </c>
      <c r="D149" s="216">
        <v>32.666666666666671</v>
      </c>
      <c r="E149" s="216">
        <v>32.666666666666671</v>
      </c>
      <c r="F149" s="216">
        <v>21.777777777777779</v>
      </c>
      <c r="G149" s="216">
        <v>32.68333333333333</v>
      </c>
      <c r="H149" s="216">
        <v>76.261111111111106</v>
      </c>
      <c r="I149" s="216">
        <v>78.888888888888886</v>
      </c>
      <c r="J149" s="216">
        <v>50.18333333333333</v>
      </c>
      <c r="K149" s="216">
        <v>66.666666666666671</v>
      </c>
      <c r="L149" s="216">
        <v>68.004444444444445</v>
      </c>
      <c r="M149" s="216">
        <v>31.111111111111111</v>
      </c>
      <c r="N149" s="216">
        <v>37.499999999999993</v>
      </c>
      <c r="O149" s="14" t="s">
        <v>8</v>
      </c>
      <c r="P149" s="18" t="s">
        <v>108</v>
      </c>
    </row>
    <row r="150" spans="1:16" x14ac:dyDescent="0.3">
      <c r="A150" s="12" t="s">
        <v>167</v>
      </c>
      <c r="B150" s="22" t="s">
        <v>224</v>
      </c>
      <c r="C150" s="216">
        <v>1089.7312557668838</v>
      </c>
      <c r="D150" s="216">
        <v>1045.25544818154</v>
      </c>
      <c r="E150" s="216">
        <v>1133.4960381169401</v>
      </c>
      <c r="F150" s="216">
        <v>1201.1513762672689</v>
      </c>
      <c r="G150" s="216">
        <v>1447.7499999999995</v>
      </c>
      <c r="H150" s="216">
        <v>1452.658116887794</v>
      </c>
      <c r="I150" s="216">
        <v>1645.3467942995646</v>
      </c>
      <c r="J150" s="216">
        <v>1541.3481611361747</v>
      </c>
      <c r="K150" s="216">
        <v>1576.748316317538</v>
      </c>
      <c r="L150" s="216">
        <v>1573.8423813920294</v>
      </c>
      <c r="M150" s="216">
        <v>1570.5555555555557</v>
      </c>
      <c r="N150" s="216">
        <v>1661.3888888888889</v>
      </c>
      <c r="O150" s="14" t="s">
        <v>8</v>
      </c>
      <c r="P150" s="18" t="s">
        <v>108</v>
      </c>
    </row>
    <row r="151" spans="1:16" x14ac:dyDescent="0.3">
      <c r="A151" s="12" t="s">
        <v>168</v>
      </c>
      <c r="B151" s="22" t="s">
        <v>224</v>
      </c>
      <c r="C151" s="216">
        <v>127.43333333333334</v>
      </c>
      <c r="D151" s="216">
        <v>143.85555555555555</v>
      </c>
      <c r="E151" s="216">
        <v>137.92611111111111</v>
      </c>
      <c r="F151" s="216">
        <v>153.06333333333333</v>
      </c>
      <c r="G151" s="216">
        <v>118.55277777777778</v>
      </c>
      <c r="H151" s="216">
        <v>68.177777777777777</v>
      </c>
      <c r="I151" s="216">
        <v>618.95722222222219</v>
      </c>
      <c r="J151" s="216">
        <v>164.59666666666669</v>
      </c>
      <c r="K151" s="216">
        <v>158.48555555555555</v>
      </c>
      <c r="L151" s="216">
        <v>169.30999999999997</v>
      </c>
      <c r="M151" s="216">
        <v>152.65222222222221</v>
      </c>
      <c r="N151" s="216">
        <v>149.87444444444444</v>
      </c>
      <c r="O151" s="14" t="s">
        <v>8</v>
      </c>
      <c r="P151" s="18" t="s">
        <v>108</v>
      </c>
    </row>
    <row r="152" spans="1:16" x14ac:dyDescent="0.3">
      <c r="A152" s="42" t="s">
        <v>114</v>
      </c>
      <c r="B152" s="22" t="s">
        <v>224</v>
      </c>
      <c r="C152" s="216">
        <v>82.98888888888888</v>
      </c>
      <c r="D152" s="216">
        <v>90.522222222222226</v>
      </c>
      <c r="E152" s="216">
        <v>83.037222222222212</v>
      </c>
      <c r="F152" s="216">
        <v>98.174444444444447</v>
      </c>
      <c r="G152" s="216">
        <v>67.886111111111106</v>
      </c>
      <c r="H152" s="216">
        <v>30.177777777777774</v>
      </c>
      <c r="I152" s="216">
        <v>52.902777777777779</v>
      </c>
      <c r="J152" s="216">
        <v>36.666666666666664</v>
      </c>
      <c r="K152" s="216">
        <v>30.555555555555554</v>
      </c>
      <c r="L152" s="216">
        <v>29.749999999999996</v>
      </c>
      <c r="M152" s="216">
        <v>24.722222222222221</v>
      </c>
      <c r="N152" s="216">
        <v>26.111111111111107</v>
      </c>
      <c r="O152" s="14" t="s">
        <v>8</v>
      </c>
      <c r="P152" s="18" t="s">
        <v>108</v>
      </c>
    </row>
    <row r="153" spans="1:16" x14ac:dyDescent="0.3">
      <c r="A153" s="42" t="s">
        <v>115</v>
      </c>
      <c r="B153" s="22" t="s">
        <v>224</v>
      </c>
      <c r="C153" s="216">
        <v>0</v>
      </c>
      <c r="D153" s="216">
        <v>0</v>
      </c>
      <c r="E153" s="216">
        <v>0</v>
      </c>
      <c r="F153" s="216">
        <v>0</v>
      </c>
      <c r="G153" s="216">
        <v>0</v>
      </c>
      <c r="H153" s="216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216">
        <v>0</v>
      </c>
      <c r="O153" s="14" t="s">
        <v>8</v>
      </c>
      <c r="P153" s="18" t="s">
        <v>108</v>
      </c>
    </row>
    <row r="154" spans="1:16" x14ac:dyDescent="0.3">
      <c r="A154" s="42" t="s">
        <v>142</v>
      </c>
      <c r="B154" s="22" t="s">
        <v>224</v>
      </c>
      <c r="C154" s="216">
        <v>44.444444444444443</v>
      </c>
      <c r="D154" s="216">
        <v>53.333333333333329</v>
      </c>
      <c r="E154" s="216">
        <v>54.888888888888879</v>
      </c>
      <c r="F154" s="216">
        <v>54.888888888888879</v>
      </c>
      <c r="G154" s="216">
        <v>50.666666666666664</v>
      </c>
      <c r="H154" s="216">
        <v>38</v>
      </c>
      <c r="I154" s="216">
        <v>566.05444444444436</v>
      </c>
      <c r="J154" s="216">
        <v>127.92999999999999</v>
      </c>
      <c r="K154" s="216">
        <v>127.92999999999999</v>
      </c>
      <c r="L154" s="216">
        <v>139.56</v>
      </c>
      <c r="M154" s="216">
        <v>127.92999999999999</v>
      </c>
      <c r="N154" s="216">
        <v>127.92999999999999</v>
      </c>
      <c r="O154" s="14" t="s">
        <v>8</v>
      </c>
      <c r="P154" s="18" t="s">
        <v>108</v>
      </c>
    </row>
    <row r="155" spans="1:16" x14ac:dyDescent="0.3">
      <c r="A155" s="12" t="s">
        <v>169</v>
      </c>
      <c r="B155" s="22" t="s">
        <v>224</v>
      </c>
      <c r="C155" s="216">
        <v>4720</v>
      </c>
      <c r="D155" s="216">
        <v>4492.0000000000009</v>
      </c>
      <c r="E155" s="216">
        <v>4703</v>
      </c>
      <c r="F155" s="216">
        <v>4593</v>
      </c>
      <c r="G155" s="216">
        <v>4728.9999999999991</v>
      </c>
      <c r="H155" s="216">
        <v>4738.0000000000009</v>
      </c>
      <c r="I155" s="216">
        <v>5093.0000000000009</v>
      </c>
      <c r="J155" s="216">
        <v>4891.5555555555547</v>
      </c>
      <c r="K155" s="216">
        <v>10395.895555555557</v>
      </c>
      <c r="L155" s="216">
        <v>5125.1111111111113</v>
      </c>
      <c r="M155" s="216">
        <v>4979.4444444444443</v>
      </c>
      <c r="N155" s="216">
        <v>5641.1111111111113</v>
      </c>
      <c r="O155" s="14" t="s">
        <v>8</v>
      </c>
      <c r="P155" s="18" t="s">
        <v>108</v>
      </c>
    </row>
    <row r="156" spans="1:16" x14ac:dyDescent="0.3">
      <c r="A156" s="12" t="s">
        <v>170</v>
      </c>
      <c r="B156" s="22" t="s">
        <v>224</v>
      </c>
      <c r="C156" s="216">
        <v>5675.2777777777774</v>
      </c>
      <c r="D156" s="216">
        <v>5091.1111111111113</v>
      </c>
      <c r="E156" s="216">
        <v>5288.8888888888887</v>
      </c>
      <c r="F156" s="216">
        <v>5037.2222222222217</v>
      </c>
      <c r="G156" s="216">
        <v>4735</v>
      </c>
      <c r="H156" s="216">
        <v>4574.4444444444443</v>
      </c>
      <c r="I156" s="216">
        <v>5054.166666666667</v>
      </c>
      <c r="J156" s="216">
        <v>5103.8888888888887</v>
      </c>
      <c r="K156" s="216">
        <v>5185.5555555555557</v>
      </c>
      <c r="L156" s="216">
        <v>5012.5</v>
      </c>
      <c r="M156" s="216">
        <v>4933.8888888888887</v>
      </c>
      <c r="N156" s="216">
        <v>5096.1111111111113</v>
      </c>
      <c r="O156" s="14" t="s">
        <v>8</v>
      </c>
      <c r="P156" s="18" t="s">
        <v>108</v>
      </c>
    </row>
    <row r="157" spans="1:16" x14ac:dyDescent="0.3">
      <c r="A157" s="12" t="s">
        <v>171</v>
      </c>
      <c r="B157" s="22" t="s">
        <v>224</v>
      </c>
      <c r="C157" s="216">
        <v>5188.0555555555557</v>
      </c>
      <c r="D157" s="216">
        <v>4513.8888888888887</v>
      </c>
      <c r="E157" s="216">
        <v>4679.4444444444443</v>
      </c>
      <c r="F157" s="216">
        <v>4538.6111111111113</v>
      </c>
      <c r="G157" s="216">
        <v>4512.2281111111106</v>
      </c>
      <c r="H157" s="216">
        <v>4385.2777777777774</v>
      </c>
      <c r="I157" s="216">
        <v>4699.4444444444443</v>
      </c>
      <c r="J157" s="216">
        <v>4756.1111111111113</v>
      </c>
      <c r="K157" s="216">
        <v>4779.7222222222217</v>
      </c>
      <c r="L157" s="216">
        <v>4605</v>
      </c>
      <c r="M157" s="216">
        <v>4845.5555555555557</v>
      </c>
      <c r="N157" s="216">
        <v>4640.2777777777774</v>
      </c>
      <c r="O157" s="14" t="s">
        <v>8</v>
      </c>
      <c r="P157" s="18" t="s">
        <v>108</v>
      </c>
    </row>
    <row r="158" spans="1:16" x14ac:dyDescent="0.3">
      <c r="A158" s="47" t="s">
        <v>172</v>
      </c>
      <c r="B158" s="22" t="s">
        <v>224</v>
      </c>
      <c r="C158" s="287">
        <v>17988.768477989106</v>
      </c>
      <c r="D158" s="287">
        <v>16814.838781514871</v>
      </c>
      <c r="E158" s="287">
        <v>17491.126365166503</v>
      </c>
      <c r="F158" s="287">
        <v>16994.520265156159</v>
      </c>
      <c r="G158" s="287">
        <v>17167.742000000002</v>
      </c>
      <c r="H158" s="287">
        <v>16913.338858672869</v>
      </c>
      <c r="I158" s="287">
        <v>18672.165555555555</v>
      </c>
      <c r="J158" s="287">
        <v>18072.574060179759</v>
      </c>
      <c r="K158" s="287">
        <v>23662.684982984207</v>
      </c>
      <c r="L158" s="287">
        <v>17956.031825836471</v>
      </c>
      <c r="M158" s="287">
        <v>17871.818888888891</v>
      </c>
      <c r="N158" s="287">
        <v>18252.652222222223</v>
      </c>
      <c r="O158" s="14" t="s">
        <v>8</v>
      </c>
      <c r="P158" s="18" t="s">
        <v>108</v>
      </c>
    </row>
    <row r="159" spans="1:16" x14ac:dyDescent="0.3">
      <c r="A159" s="24" t="s">
        <v>102</v>
      </c>
      <c r="B159" s="25" t="s">
        <v>103</v>
      </c>
      <c r="C159" s="87">
        <v>1.0000128224052087</v>
      </c>
      <c r="D159" s="87">
        <v>1.0000128224052087</v>
      </c>
      <c r="E159" s="87">
        <v>1.0000128224052087</v>
      </c>
      <c r="F159" s="87">
        <v>1.0000128224052087</v>
      </c>
      <c r="G159" s="87">
        <v>1.0000128224052087</v>
      </c>
      <c r="H159" s="87">
        <v>1.0000128224052087</v>
      </c>
      <c r="I159" s="87">
        <v>1.0000128224052087</v>
      </c>
      <c r="J159" s="87">
        <v>1.0000128224052087</v>
      </c>
      <c r="K159" s="87">
        <v>1.0000128224052087</v>
      </c>
      <c r="L159" s="87">
        <v>1.0000128224052087</v>
      </c>
      <c r="M159" s="87">
        <v>1.0000128224052087</v>
      </c>
      <c r="N159" s="87">
        <v>1.0000128224052087</v>
      </c>
      <c r="O159" s="14"/>
      <c r="P159" s="28"/>
    </row>
    <row r="160" spans="1:16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</row>
    <row r="161" spans="1:16" x14ac:dyDescent="0.3">
      <c r="A161" s="23" t="s">
        <v>173</v>
      </c>
      <c r="B161" s="22" t="s">
        <v>224</v>
      </c>
      <c r="C161" s="17">
        <v>391.00885730000005</v>
      </c>
      <c r="D161" s="17">
        <v>527.51156290000006</v>
      </c>
      <c r="E161" s="17">
        <v>694.28832150000005</v>
      </c>
      <c r="F161" s="17">
        <v>553.76745090000009</v>
      </c>
      <c r="G161" s="17">
        <v>554.05110660000003</v>
      </c>
      <c r="H161" s="17">
        <v>580.93187449999994</v>
      </c>
      <c r="I161" s="17">
        <v>532.75785589999998</v>
      </c>
      <c r="J161" s="17">
        <v>693.43619139999998</v>
      </c>
      <c r="K161" s="17">
        <v>806.83008700000016</v>
      </c>
      <c r="L161" s="17">
        <v>796.69444444444423</v>
      </c>
      <c r="M161" s="17">
        <v>293.05555555555554</v>
      </c>
      <c r="N161" s="17">
        <v>500.55555555555554</v>
      </c>
      <c r="O161" s="14" t="s">
        <v>8</v>
      </c>
      <c r="P161" s="18" t="s">
        <v>108</v>
      </c>
    </row>
    <row r="162" spans="1:16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28"/>
    </row>
    <row r="163" spans="1:16" ht="18" x14ac:dyDescent="0.3">
      <c r="A163" s="2" t="s">
        <v>174</v>
      </c>
      <c r="B163" s="2"/>
      <c r="C163" s="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8"/>
      <c r="P163" s="28"/>
    </row>
    <row r="164" spans="1:16" x14ac:dyDescent="0.3">
      <c r="A164" s="1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28"/>
    </row>
    <row r="165" spans="1:16" ht="15.6" x14ac:dyDescent="0.3">
      <c r="A165" s="8" t="s">
        <v>175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28"/>
    </row>
    <row r="166" spans="1:16" x14ac:dyDescent="0.3">
      <c r="A166" s="1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28"/>
    </row>
    <row r="167" spans="1:16" x14ac:dyDescent="0.3">
      <c r="A167" s="12" t="s">
        <v>176</v>
      </c>
      <c r="B167" s="22" t="s">
        <v>177</v>
      </c>
      <c r="C167" s="17">
        <v>4887.2299999999996</v>
      </c>
      <c r="D167" s="17">
        <v>4084</v>
      </c>
      <c r="E167" s="17">
        <v>4579.62</v>
      </c>
      <c r="F167" s="17">
        <v>4154.32</v>
      </c>
      <c r="G167" s="17">
        <v>4143.17</v>
      </c>
      <c r="H167" s="17">
        <v>3795.56</v>
      </c>
      <c r="I167" s="17">
        <v>4208.45</v>
      </c>
      <c r="J167" s="17">
        <v>4209.57</v>
      </c>
      <c r="K167" s="17">
        <v>4064.64</v>
      </c>
      <c r="L167" s="17">
        <v>3883.05</v>
      </c>
      <c r="M167" s="17">
        <v>3650</v>
      </c>
      <c r="N167" s="17">
        <v>4265</v>
      </c>
      <c r="O167" s="14" t="s">
        <v>12</v>
      </c>
      <c r="P167" s="356" t="s">
        <v>178</v>
      </c>
    </row>
    <row r="168" spans="1:16" x14ac:dyDescent="0.3">
      <c r="A168" s="12" t="s">
        <v>179</v>
      </c>
      <c r="B168" s="22" t="s">
        <v>177</v>
      </c>
      <c r="C168" s="17">
        <v>4444.5600000000004</v>
      </c>
      <c r="D168" s="17">
        <v>4444.5600000000004</v>
      </c>
      <c r="E168" s="17">
        <v>4444.5600000000004</v>
      </c>
      <c r="F168" s="17">
        <v>4444.5600000000004</v>
      </c>
      <c r="G168" s="17">
        <v>4444.5600000000004</v>
      </c>
      <c r="H168" s="17">
        <v>4444.5600000000004</v>
      </c>
      <c r="I168" s="17">
        <v>4444.5600000000004</v>
      </c>
      <c r="J168" s="17">
        <v>4444.5600000000004</v>
      </c>
      <c r="K168" s="17">
        <v>4444.5600000000004</v>
      </c>
      <c r="L168" s="17">
        <v>4444.5600000000004</v>
      </c>
      <c r="M168" s="17">
        <v>4444.5600000000004</v>
      </c>
      <c r="N168" s="17">
        <v>4444.5600000000004</v>
      </c>
      <c r="O168" s="14" t="s">
        <v>12</v>
      </c>
      <c r="P168" s="356" t="s">
        <v>178</v>
      </c>
    </row>
    <row r="169" spans="1:16" x14ac:dyDescent="0.3">
      <c r="A169" s="10"/>
      <c r="B169" s="22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 t="s">
        <v>180</v>
      </c>
      <c r="P169" s="28"/>
    </row>
    <row r="170" spans="1:16" ht="15.6" x14ac:dyDescent="0.3">
      <c r="A170" s="8" t="s">
        <v>181</v>
      </c>
      <c r="B170" s="22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 t="s">
        <v>180</v>
      </c>
      <c r="P170" s="28"/>
    </row>
    <row r="171" spans="1:16" x14ac:dyDescent="0.3">
      <c r="A171" s="10"/>
      <c r="B171" s="22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 t="s">
        <v>180</v>
      </c>
      <c r="P171" s="28"/>
    </row>
    <row r="172" spans="1:16" x14ac:dyDescent="0.3">
      <c r="A172" s="12" t="s">
        <v>182</v>
      </c>
      <c r="B172" s="22" t="s">
        <v>177</v>
      </c>
      <c r="C172" s="17">
        <v>42.99</v>
      </c>
      <c r="D172" s="17">
        <v>14.4</v>
      </c>
      <c r="E172" s="17">
        <v>6.45</v>
      </c>
      <c r="F172" s="17">
        <v>3.38</v>
      </c>
      <c r="G172" s="17">
        <v>9.23</v>
      </c>
      <c r="H172" s="17">
        <v>0</v>
      </c>
      <c r="I172" s="17">
        <v>1.52</v>
      </c>
      <c r="J172" s="17">
        <v>0</v>
      </c>
      <c r="K172" s="17">
        <v>25.65</v>
      </c>
      <c r="L172" s="17">
        <v>1.33</v>
      </c>
      <c r="M172" s="17">
        <v>1.67</v>
      </c>
      <c r="N172" s="17">
        <v>38.1</v>
      </c>
      <c r="O172" s="14" t="s">
        <v>12</v>
      </c>
      <c r="P172" s="28"/>
    </row>
    <row r="173" spans="1:16" x14ac:dyDescent="0.3">
      <c r="A173" s="10"/>
      <c r="B173" s="22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28"/>
    </row>
    <row r="174" spans="1:16" x14ac:dyDescent="0.3">
      <c r="A174" s="11"/>
      <c r="B174" s="22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28"/>
    </row>
    <row r="175" spans="1:16" ht="18" x14ac:dyDescent="0.3">
      <c r="A175" s="37" t="s">
        <v>183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ht="15.6" x14ac:dyDescent="0.3">
      <c r="A176" s="8"/>
      <c r="B176" s="22"/>
      <c r="C176" s="45">
        <v>2010</v>
      </c>
      <c r="D176" s="45">
        <v>2011</v>
      </c>
      <c r="E176" s="45">
        <v>2012</v>
      </c>
      <c r="F176" s="45">
        <v>2013</v>
      </c>
      <c r="G176" s="45">
        <v>2014</v>
      </c>
      <c r="H176" s="45">
        <v>2015</v>
      </c>
      <c r="I176" s="45">
        <v>2016</v>
      </c>
      <c r="J176" s="45">
        <v>2017</v>
      </c>
      <c r="K176" s="45">
        <v>2018</v>
      </c>
      <c r="L176" s="45">
        <v>2019</v>
      </c>
      <c r="M176" s="45">
        <v>2020</v>
      </c>
      <c r="N176" s="45">
        <v>2021</v>
      </c>
      <c r="O176" s="13"/>
      <c r="P176" s="28"/>
    </row>
    <row r="177" spans="1:16" x14ac:dyDescent="0.3">
      <c r="A177" s="39" t="s">
        <v>184</v>
      </c>
      <c r="B177" s="22" t="s">
        <v>185</v>
      </c>
      <c r="C177" s="38">
        <f>C186</f>
        <v>0.88175820107633773</v>
      </c>
      <c r="D177" s="219">
        <f t="shared" ref="D177:N177" si="7">D186</f>
        <v>0.87847760065192737</v>
      </c>
      <c r="E177" s="219">
        <f t="shared" si="7"/>
        <v>0.87322003797494485</v>
      </c>
      <c r="F177" s="219">
        <f t="shared" si="7"/>
        <v>0.87105189713129128</v>
      </c>
      <c r="G177" s="219">
        <f t="shared" si="7"/>
        <v>0.86842343996840443</v>
      </c>
      <c r="H177" s="219">
        <f t="shared" si="7"/>
        <v>0.86715005767907161</v>
      </c>
      <c r="I177" s="219">
        <f t="shared" si="7"/>
        <v>0.86502462128331381</v>
      </c>
      <c r="J177" s="219">
        <f t="shared" si="7"/>
        <v>0.87293860564687709</v>
      </c>
      <c r="K177" s="219">
        <f t="shared" si="7"/>
        <v>0.87676690731840923</v>
      </c>
      <c r="L177" s="219">
        <f t="shared" si="7"/>
        <v>0.87333030815560386</v>
      </c>
      <c r="M177" s="219">
        <f t="shared" si="7"/>
        <v>0.87697968258708936</v>
      </c>
      <c r="N177" s="219">
        <f t="shared" si="7"/>
        <v>0.87394389996620481</v>
      </c>
      <c r="O177" s="13"/>
      <c r="P177" s="28"/>
    </row>
    <row r="178" spans="1:16" x14ac:dyDescent="0.3">
      <c r="A178" s="39" t="s">
        <v>186</v>
      </c>
      <c r="B178" s="22" t="s">
        <v>187</v>
      </c>
      <c r="C178" s="38">
        <f>IFERROR(C200/C199,"")</f>
        <v>0.48489390972181223</v>
      </c>
      <c r="D178" s="219">
        <f t="shared" ref="D178:N178" si="8">IFERROR(D200/D199,"")</f>
        <v>0.48952580650774125</v>
      </c>
      <c r="E178" s="219">
        <f t="shared" si="8"/>
        <v>0.53942174971321277</v>
      </c>
      <c r="F178" s="219">
        <f t="shared" si="8"/>
        <v>0.49314532165803732</v>
      </c>
      <c r="G178" s="219">
        <f t="shared" si="8"/>
        <v>0.50211430715098826</v>
      </c>
      <c r="H178" s="219">
        <f t="shared" si="8"/>
        <v>0.5794340381689369</v>
      </c>
      <c r="I178" s="219">
        <f t="shared" si="8"/>
        <v>0.4622738749680389</v>
      </c>
      <c r="J178" s="219">
        <f t="shared" si="8"/>
        <v>0.48422746146576862</v>
      </c>
      <c r="K178" s="219">
        <f t="shared" si="8"/>
        <v>0.50501456272461065</v>
      </c>
      <c r="L178" s="219">
        <f t="shared" si="8"/>
        <v>0.59848122921870439</v>
      </c>
      <c r="M178" s="219">
        <f t="shared" si="8"/>
        <v>0.60972450273036993</v>
      </c>
      <c r="N178" s="219">
        <f t="shared" si="8"/>
        <v>0.60972151860647883</v>
      </c>
      <c r="O178" s="13"/>
      <c r="P178" s="28"/>
    </row>
    <row r="179" spans="1:16" x14ac:dyDescent="0.3">
      <c r="A179" s="39" t="s">
        <v>188</v>
      </c>
      <c r="B179" s="22">
        <v>100</v>
      </c>
      <c r="C179" s="219">
        <f>C210</f>
        <v>1.007726563579239</v>
      </c>
      <c r="D179" s="219">
        <f t="shared" ref="D179:N179" si="9">D210</f>
        <v>0.99238081729331884</v>
      </c>
      <c r="E179" s="219">
        <f t="shared" si="9"/>
        <v>1.0019984448083457</v>
      </c>
      <c r="F179" s="219">
        <f t="shared" si="9"/>
        <v>0.986190039680236</v>
      </c>
      <c r="G179" s="219">
        <f t="shared" si="9"/>
        <v>0.99721760238303481</v>
      </c>
      <c r="H179" s="219">
        <f t="shared" si="9"/>
        <v>0.98819529591389599</v>
      </c>
      <c r="I179" s="219">
        <f t="shared" si="9"/>
        <v>1.0106992541634618</v>
      </c>
      <c r="J179" s="219">
        <f t="shared" si="9"/>
        <v>0.99237359884430965</v>
      </c>
      <c r="K179" s="219">
        <f t="shared" si="9"/>
        <v>1.0080548672816048</v>
      </c>
      <c r="L179" s="219">
        <f t="shared" si="9"/>
        <v>0.99851468393470744</v>
      </c>
      <c r="M179" s="219">
        <f t="shared" si="9"/>
        <v>0.99999999999999978</v>
      </c>
      <c r="N179" s="38">
        <f t="shared" si="9"/>
        <v>1</v>
      </c>
      <c r="O179" s="13"/>
      <c r="P179" s="28"/>
    </row>
    <row r="180" spans="1:16" ht="15.6" x14ac:dyDescent="0.3">
      <c r="A180" s="3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28"/>
    </row>
    <row r="181" spans="1:16" ht="15.6" x14ac:dyDescent="0.3">
      <c r="A181" s="35" t="s">
        <v>189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28"/>
    </row>
    <row r="182" spans="1:16" x14ac:dyDescent="0.3">
      <c r="A182" s="3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28"/>
    </row>
    <row r="183" spans="1:16" x14ac:dyDescent="0.3">
      <c r="A183" s="39" t="s">
        <v>190</v>
      </c>
      <c r="B183" s="22" t="s">
        <v>103</v>
      </c>
      <c r="C183" s="219">
        <f t="shared" ref="C183:N185" si="10">IFERROR(C24/C$11,"")</f>
        <v>2.7903666632388399E-2</v>
      </c>
      <c r="D183" s="219">
        <f t="shared" si="10"/>
        <v>2.8171999083893031E-2</v>
      </c>
      <c r="E183" s="219">
        <f t="shared" si="10"/>
        <v>2.7743751676882748E-2</v>
      </c>
      <c r="F183" s="219">
        <f t="shared" si="10"/>
        <v>2.5988435661287942E-2</v>
      </c>
      <c r="G183" s="219">
        <f t="shared" si="10"/>
        <v>2.8321494865718801E-2</v>
      </c>
      <c r="H183" s="219">
        <f t="shared" si="10"/>
        <v>2.8582645869887648E-2</v>
      </c>
      <c r="I183" s="219">
        <f t="shared" si="10"/>
        <v>2.1116039544412282E-2</v>
      </c>
      <c r="J183" s="219">
        <f t="shared" si="10"/>
        <v>2.132346736190379E-2</v>
      </c>
      <c r="K183" s="219">
        <f t="shared" si="10"/>
        <v>1.8393382148405239E-2</v>
      </c>
      <c r="L183" s="219">
        <f t="shared" si="10"/>
        <v>2.4062538674147104E-2</v>
      </c>
      <c r="M183" s="219">
        <f t="shared" si="10"/>
        <v>2.4121224188423471E-2</v>
      </c>
      <c r="N183" s="219">
        <f t="shared" si="10"/>
        <v>1.8840824602906387E-2</v>
      </c>
      <c r="O183" s="13"/>
      <c r="P183" s="28"/>
    </row>
    <row r="184" spans="1:16" x14ac:dyDescent="0.3">
      <c r="A184" s="39" t="s">
        <v>191</v>
      </c>
      <c r="B184" s="22" t="s">
        <v>103</v>
      </c>
      <c r="C184" s="219">
        <f t="shared" si="10"/>
        <v>0.22649933157371541</v>
      </c>
      <c r="D184" s="219">
        <f t="shared" si="10"/>
        <v>0.24360310730701837</v>
      </c>
      <c r="E184" s="219">
        <f t="shared" si="10"/>
        <v>0.24243829071471326</v>
      </c>
      <c r="F184" s="219">
        <f t="shared" si="10"/>
        <v>0.24316353317500594</v>
      </c>
      <c r="G184" s="219">
        <f t="shared" si="10"/>
        <v>0.24241730845181672</v>
      </c>
      <c r="H184" s="219">
        <f t="shared" si="10"/>
        <v>0.23863236135211374</v>
      </c>
      <c r="I184" s="219">
        <f t="shared" si="10"/>
        <v>0.24561139721084085</v>
      </c>
      <c r="J184" s="219">
        <f t="shared" si="10"/>
        <v>0.24721631260798313</v>
      </c>
      <c r="K184" s="219">
        <f t="shared" si="10"/>
        <v>0.24968866483217858</v>
      </c>
      <c r="L184" s="219">
        <f t="shared" si="10"/>
        <v>0.23388474072851778</v>
      </c>
      <c r="M184" s="219">
        <f t="shared" si="10"/>
        <v>0.23263396301550562</v>
      </c>
      <c r="N184" s="219">
        <f t="shared" si="10"/>
        <v>0.23143568158775998</v>
      </c>
      <c r="O184" s="13"/>
      <c r="P184" s="28"/>
    </row>
    <row r="185" spans="1:16" x14ac:dyDescent="0.3">
      <c r="A185" s="39" t="s">
        <v>192</v>
      </c>
      <c r="B185" s="22" t="s">
        <v>103</v>
      </c>
      <c r="C185" s="219">
        <f t="shared" si="10"/>
        <v>0.62735520287023394</v>
      </c>
      <c r="D185" s="219">
        <f t="shared" si="10"/>
        <v>0.60670249426101597</v>
      </c>
      <c r="E185" s="219">
        <f t="shared" si="10"/>
        <v>0.60303799558334881</v>
      </c>
      <c r="F185" s="219">
        <f t="shared" si="10"/>
        <v>0.60189992829499739</v>
      </c>
      <c r="G185" s="219">
        <f t="shared" si="10"/>
        <v>0.59768463665086891</v>
      </c>
      <c r="H185" s="219">
        <f t="shared" si="10"/>
        <v>0.5999350504570703</v>
      </c>
      <c r="I185" s="219">
        <f t="shared" si="10"/>
        <v>0.59829718452806069</v>
      </c>
      <c r="J185" s="219">
        <f t="shared" si="10"/>
        <v>0.60439882567699021</v>
      </c>
      <c r="K185" s="219">
        <f t="shared" si="10"/>
        <v>0.60868486033782543</v>
      </c>
      <c r="L185" s="219">
        <f t="shared" si="10"/>
        <v>0.61538302875293904</v>
      </c>
      <c r="M185" s="219">
        <f t="shared" si="10"/>
        <v>0.62022449538316027</v>
      </c>
      <c r="N185" s="219">
        <f t="shared" si="10"/>
        <v>0.62366739377553848</v>
      </c>
      <c r="O185" s="13"/>
      <c r="P185" s="28"/>
    </row>
    <row r="186" spans="1:16" x14ac:dyDescent="0.3">
      <c r="A186" s="24" t="s">
        <v>193</v>
      </c>
      <c r="B186" s="25" t="s">
        <v>103</v>
      </c>
      <c r="C186" s="219">
        <f>SUM(C183:C185)</f>
        <v>0.88175820107633773</v>
      </c>
      <c r="D186" s="219">
        <f t="shared" ref="D186:N186" si="11">SUM(D183:D185)</f>
        <v>0.87847760065192737</v>
      </c>
      <c r="E186" s="219">
        <f t="shared" si="11"/>
        <v>0.87322003797494485</v>
      </c>
      <c r="F186" s="219">
        <f t="shared" si="11"/>
        <v>0.87105189713129128</v>
      </c>
      <c r="G186" s="219">
        <f t="shared" si="11"/>
        <v>0.86842343996840443</v>
      </c>
      <c r="H186" s="219">
        <f t="shared" si="11"/>
        <v>0.86715005767907161</v>
      </c>
      <c r="I186" s="219">
        <f t="shared" si="11"/>
        <v>0.86502462128331381</v>
      </c>
      <c r="J186" s="219">
        <f t="shared" si="11"/>
        <v>0.87293860564687709</v>
      </c>
      <c r="K186" s="219">
        <f t="shared" si="11"/>
        <v>0.87676690731840923</v>
      </c>
      <c r="L186" s="219">
        <f t="shared" si="11"/>
        <v>0.87333030815560386</v>
      </c>
      <c r="M186" s="219">
        <f t="shared" si="11"/>
        <v>0.87697968258708936</v>
      </c>
      <c r="N186" s="219">
        <f t="shared" si="11"/>
        <v>0.87394389996620481</v>
      </c>
      <c r="O186" s="13"/>
      <c r="P186" s="28"/>
    </row>
    <row r="187" spans="1:16" ht="15.6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28"/>
    </row>
    <row r="188" spans="1:16" ht="15.6" x14ac:dyDescent="0.3">
      <c r="A188" s="35" t="s">
        <v>194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28"/>
    </row>
    <row r="189" spans="1:16" ht="15.6" x14ac:dyDescent="0.3">
      <c r="A189" s="36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28"/>
    </row>
    <row r="190" spans="1:16" ht="15.6" x14ac:dyDescent="0.3">
      <c r="A190" s="39" t="s">
        <v>195</v>
      </c>
      <c r="B190" s="22" t="s">
        <v>66</v>
      </c>
      <c r="C190" s="17">
        <f>C11</f>
        <v>17503.8</v>
      </c>
      <c r="D190" s="17">
        <f t="shared" ref="D190:N190" si="12">D11</f>
        <v>18775.099999999999</v>
      </c>
      <c r="E190" s="17">
        <f t="shared" si="12"/>
        <v>19381.2</v>
      </c>
      <c r="F190" s="17">
        <f t="shared" si="12"/>
        <v>19663.900000000001</v>
      </c>
      <c r="G190" s="17">
        <f t="shared" si="12"/>
        <v>20256</v>
      </c>
      <c r="H190" s="17">
        <f t="shared" si="12"/>
        <v>20631.400000000001</v>
      </c>
      <c r="I190" s="17">
        <f t="shared" si="12"/>
        <v>21282.400000000001</v>
      </c>
      <c r="J190" s="17">
        <f t="shared" si="12"/>
        <v>22515.1</v>
      </c>
      <c r="K190" s="17">
        <f t="shared" si="12"/>
        <v>23367.1</v>
      </c>
      <c r="L190" s="17">
        <f t="shared" si="12"/>
        <v>24241</v>
      </c>
      <c r="M190" s="17">
        <f t="shared" si="12"/>
        <v>24107.4</v>
      </c>
      <c r="N190" s="17">
        <f t="shared" si="12"/>
        <v>26039.200000000001</v>
      </c>
      <c r="O190" s="34"/>
      <c r="P190" s="28"/>
    </row>
    <row r="191" spans="1:16" ht="15.6" x14ac:dyDescent="0.3">
      <c r="A191" s="39" t="s">
        <v>196</v>
      </c>
      <c r="B191" s="22" t="str">
        <f>B190</f>
        <v>MEUR2015</v>
      </c>
      <c r="C191" s="220">
        <f>C24</f>
        <v>488.42020000000002</v>
      </c>
      <c r="D191" s="220">
        <f t="shared" ref="D191:N193" si="13">D24</f>
        <v>528.93209999999999</v>
      </c>
      <c r="E191" s="220">
        <f t="shared" si="13"/>
        <v>537.70719999999994</v>
      </c>
      <c r="F191" s="220">
        <f t="shared" si="13"/>
        <v>511.03399999999999</v>
      </c>
      <c r="G191" s="220">
        <f t="shared" si="13"/>
        <v>573.68020000000001</v>
      </c>
      <c r="H191" s="220">
        <f t="shared" si="13"/>
        <v>589.70000000000005</v>
      </c>
      <c r="I191" s="220">
        <f t="shared" si="13"/>
        <v>449.4</v>
      </c>
      <c r="J191" s="220">
        <f t="shared" si="13"/>
        <v>480.1</v>
      </c>
      <c r="K191" s="220">
        <f t="shared" si="13"/>
        <v>429.8</v>
      </c>
      <c r="L191" s="220">
        <f t="shared" si="13"/>
        <v>583.29999999999995</v>
      </c>
      <c r="M191" s="220">
        <f t="shared" si="13"/>
        <v>581.5</v>
      </c>
      <c r="N191" s="17">
        <f t="shared" si="13"/>
        <v>490.6</v>
      </c>
      <c r="O191" s="34"/>
      <c r="P191" s="28"/>
    </row>
    <row r="192" spans="1:16" ht="15.6" x14ac:dyDescent="0.3">
      <c r="A192" s="39" t="s">
        <v>197</v>
      </c>
      <c r="B192" s="22" t="str">
        <f>B191</f>
        <v>MEUR2015</v>
      </c>
      <c r="C192" s="220">
        <f>C25</f>
        <v>3964.5989999999997</v>
      </c>
      <c r="D192" s="220">
        <f t="shared" si="13"/>
        <v>4573.6727000000001</v>
      </c>
      <c r="E192" s="220">
        <f t="shared" si="13"/>
        <v>4698.7450000000008</v>
      </c>
      <c r="F192" s="220">
        <f t="shared" si="13"/>
        <v>4781.5433999999996</v>
      </c>
      <c r="G192" s="220">
        <f t="shared" si="13"/>
        <v>4910.4049999999997</v>
      </c>
      <c r="H192" s="220">
        <f t="shared" si="13"/>
        <v>4923.3197</v>
      </c>
      <c r="I192" s="220">
        <f t="shared" si="13"/>
        <v>5227.2</v>
      </c>
      <c r="J192" s="220">
        <f t="shared" si="13"/>
        <v>5566.1</v>
      </c>
      <c r="K192" s="220">
        <f t="shared" si="13"/>
        <v>5834.5</v>
      </c>
      <c r="L192" s="220">
        <f t="shared" si="13"/>
        <v>5669.5999999999995</v>
      </c>
      <c r="M192" s="220">
        <f t="shared" si="13"/>
        <v>5608.2000000000007</v>
      </c>
      <c r="N192" s="220">
        <f t="shared" si="13"/>
        <v>6026.4</v>
      </c>
      <c r="O192" s="34"/>
      <c r="P192" s="28"/>
    </row>
    <row r="193" spans="1:16" ht="15.6" x14ac:dyDescent="0.3">
      <c r="A193" s="39" t="s">
        <v>198</v>
      </c>
      <c r="B193" s="22" t="str">
        <f>B192</f>
        <v>MEUR2015</v>
      </c>
      <c r="C193" s="220">
        <f>C26</f>
        <v>10981.1</v>
      </c>
      <c r="D193" s="220">
        <f t="shared" si="13"/>
        <v>11390.9</v>
      </c>
      <c r="E193" s="220">
        <f t="shared" si="13"/>
        <v>11687.6</v>
      </c>
      <c r="F193" s="220">
        <f t="shared" si="13"/>
        <v>11835.7</v>
      </c>
      <c r="G193" s="220">
        <f t="shared" si="13"/>
        <v>12106.7</v>
      </c>
      <c r="H193" s="220">
        <f t="shared" si="13"/>
        <v>12377.5</v>
      </c>
      <c r="I193" s="220">
        <f t="shared" si="13"/>
        <v>12733.2</v>
      </c>
      <c r="J193" s="220">
        <f t="shared" si="13"/>
        <v>13608.1</v>
      </c>
      <c r="K193" s="220">
        <f t="shared" si="13"/>
        <v>14223.2</v>
      </c>
      <c r="L193" s="220">
        <f t="shared" si="13"/>
        <v>14917.499999999996</v>
      </c>
      <c r="M193" s="220">
        <f t="shared" si="13"/>
        <v>14952</v>
      </c>
      <c r="N193" s="220">
        <f t="shared" si="13"/>
        <v>16239.800000000001</v>
      </c>
      <c r="O193" s="34"/>
      <c r="P193" s="28"/>
    </row>
    <row r="194" spans="1:16" ht="15.6" x14ac:dyDescent="0.3">
      <c r="A194" s="39" t="s">
        <v>199</v>
      </c>
      <c r="B194" s="22" t="str">
        <f>B193</f>
        <v>MEUR2015</v>
      </c>
      <c r="C194" s="220">
        <f>C31</f>
        <v>8971.7525000000005</v>
      </c>
      <c r="D194" s="220">
        <f t="shared" ref="D194:N194" si="14">D31</f>
        <v>9255.2047000000002</v>
      </c>
      <c r="E194" s="220">
        <f t="shared" si="14"/>
        <v>9676.0995000000003</v>
      </c>
      <c r="F194" s="220">
        <f t="shared" si="14"/>
        <v>10042.1124</v>
      </c>
      <c r="G194" s="220">
        <f t="shared" si="14"/>
        <v>10438.3302</v>
      </c>
      <c r="H194" s="220">
        <f t="shared" si="14"/>
        <v>10772.8</v>
      </c>
      <c r="I194" s="220">
        <f t="shared" si="14"/>
        <v>11140.9</v>
      </c>
      <c r="J194" s="220">
        <f t="shared" si="14"/>
        <v>11376.7</v>
      </c>
      <c r="K194" s="220">
        <f t="shared" si="14"/>
        <v>11789.9</v>
      </c>
      <c r="L194" s="220">
        <f t="shared" si="14"/>
        <v>12201.8</v>
      </c>
      <c r="M194" s="220">
        <f t="shared" si="14"/>
        <v>11842.2</v>
      </c>
      <c r="N194" s="220">
        <f t="shared" si="14"/>
        <v>12585.7</v>
      </c>
      <c r="O194" s="34"/>
      <c r="P194" s="28"/>
    </row>
    <row r="195" spans="1:16" ht="15.6" x14ac:dyDescent="0.3">
      <c r="A195" s="39" t="s">
        <v>200</v>
      </c>
      <c r="B195" s="22" t="s">
        <v>201</v>
      </c>
      <c r="C195" s="221">
        <f t="shared" ref="C195:N195" si="15">C190/C35</f>
        <v>13.128276668991742</v>
      </c>
      <c r="D195" s="221">
        <f t="shared" si="15"/>
        <v>14.120226223245037</v>
      </c>
      <c r="E195" s="221">
        <f t="shared" si="15"/>
        <v>14.624925578226057</v>
      </c>
      <c r="F195" s="221">
        <f t="shared" si="15"/>
        <v>14.894930516734917</v>
      </c>
      <c r="G195" s="221">
        <f t="shared" si="15"/>
        <v>15.394214553825412</v>
      </c>
      <c r="H195" s="221">
        <f t="shared" si="15"/>
        <v>15.70993344100342</v>
      </c>
      <c r="I195" s="221">
        <f t="shared" si="15"/>
        <v>16.172724675214145</v>
      </c>
      <c r="J195" s="221">
        <f t="shared" si="15"/>
        <v>17.113485123153456</v>
      </c>
      <c r="K195" s="221">
        <f t="shared" si="15"/>
        <v>17.713983351185966</v>
      </c>
      <c r="L195" s="221">
        <f t="shared" si="15"/>
        <v>18.297580048610378</v>
      </c>
      <c r="M195" s="221">
        <f t="shared" si="15"/>
        <v>18.141018550082062</v>
      </c>
      <c r="N195" s="221">
        <f t="shared" si="15"/>
        <v>19.577344917703456</v>
      </c>
      <c r="O195" s="34"/>
      <c r="P195" s="28"/>
    </row>
    <row r="196" spans="1:16" ht="15.6" x14ac:dyDescent="0.3">
      <c r="A196" s="33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28"/>
    </row>
    <row r="197" spans="1:16" ht="15.6" x14ac:dyDescent="0.3">
      <c r="A197" s="35" t="s">
        <v>202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28"/>
    </row>
    <row r="198" spans="1:16" ht="15.6" x14ac:dyDescent="0.3">
      <c r="A198" s="41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28"/>
    </row>
    <row r="199" spans="1:16" ht="15.6" x14ac:dyDescent="0.3">
      <c r="A199" s="43" t="s">
        <v>101</v>
      </c>
      <c r="B199" s="22" t="s">
        <v>226</v>
      </c>
      <c r="C199" s="15">
        <f t="shared" ref="C199:N199" si="16">C51/1000</f>
        <v>68.507222222222239</v>
      </c>
      <c r="D199" s="15">
        <f t="shared" si="16"/>
        <v>66.581111111111113</v>
      </c>
      <c r="E199" s="15">
        <f t="shared" si="16"/>
        <v>60.811944444444435</v>
      </c>
      <c r="F199" s="15">
        <f t="shared" si="16"/>
        <v>67.911666666666648</v>
      </c>
      <c r="G199" s="15">
        <f t="shared" si="16"/>
        <v>64.42</v>
      </c>
      <c r="H199" s="15">
        <f t="shared" si="16"/>
        <v>55.839444444444446</v>
      </c>
      <c r="I199" s="15">
        <f t="shared" si="16"/>
        <v>69.528888888888886</v>
      </c>
      <c r="J199" s="15">
        <f t="shared" si="16"/>
        <v>68.073333333333323</v>
      </c>
      <c r="K199" s="15">
        <f t="shared" si="16"/>
        <v>65.691666666666649</v>
      </c>
      <c r="L199" s="15">
        <f t="shared" si="16"/>
        <v>54.997222222222234</v>
      </c>
      <c r="M199" s="15">
        <f t="shared" si="16"/>
        <v>51.936388888888892</v>
      </c>
      <c r="N199" s="15">
        <f t="shared" si="16"/>
        <v>52.881610000000002</v>
      </c>
      <c r="O199" s="34"/>
      <c r="P199" s="28"/>
    </row>
    <row r="200" spans="1:16" ht="15.6" x14ac:dyDescent="0.3">
      <c r="A200" s="43" t="s">
        <v>204</v>
      </c>
      <c r="B200" s="22" t="s">
        <v>226</v>
      </c>
      <c r="C200" s="15">
        <f t="shared" ref="C200:L200" si="17">(C73+C88+C108+C125+D141)/1000</f>
        <v>33.218734827514361</v>
      </c>
      <c r="D200" s="15">
        <f t="shared" si="17"/>
        <v>32.593172114848201</v>
      </c>
      <c r="E200" s="15">
        <f t="shared" si="17"/>
        <v>32.803285475684909</v>
      </c>
      <c r="F200" s="15">
        <f t="shared" si="17"/>
        <v>33.490320702666736</v>
      </c>
      <c r="G200" s="15">
        <f t="shared" si="17"/>
        <v>32.346203666666668</v>
      </c>
      <c r="H200" s="15">
        <f t="shared" si="17"/>
        <v>32.355274783554457</v>
      </c>
      <c r="I200" s="15">
        <f t="shared" si="17"/>
        <v>32.141388888888891</v>
      </c>
      <c r="J200" s="15">
        <f t="shared" si="17"/>
        <v>32.962977393513086</v>
      </c>
      <c r="K200" s="15">
        <f t="shared" si="17"/>
        <v>33.175248316317536</v>
      </c>
      <c r="L200" s="15">
        <f t="shared" si="17"/>
        <v>32.914805159169809</v>
      </c>
      <c r="M200" s="249">
        <f>(M73+M88+M108+M125+M141)/1000</f>
        <v>31.666888888888892</v>
      </c>
      <c r="N200" s="15">
        <f>(N73+N88+N108+N125+N141)/1000</f>
        <v>32.243055555555557</v>
      </c>
      <c r="O200" s="34"/>
      <c r="P200" s="28"/>
    </row>
    <row r="201" spans="1:16" ht="15.6" x14ac:dyDescent="0.3">
      <c r="A201" s="42" t="s">
        <v>205</v>
      </c>
      <c r="B201" s="22" t="s">
        <v>226</v>
      </c>
      <c r="C201" s="15">
        <f t="shared" ref="C201:N201" si="18">(C70+C86+C103+C122+C138)/1000</f>
        <v>6.9039999999999999</v>
      </c>
      <c r="D201" s="15">
        <f t="shared" si="18"/>
        <v>6.6180000000000003</v>
      </c>
      <c r="E201" s="15">
        <f t="shared" si="18"/>
        <v>6.9690000000000003</v>
      </c>
      <c r="F201" s="15">
        <f t="shared" si="18"/>
        <v>6.8120000000000003</v>
      </c>
      <c r="G201" s="15">
        <f t="shared" si="18"/>
        <v>6.8959999999999999</v>
      </c>
      <c r="H201" s="15">
        <f t="shared" si="18"/>
        <v>6.8440000000000003</v>
      </c>
      <c r="I201" s="15">
        <f t="shared" si="18"/>
        <v>7.2930000000000001</v>
      </c>
      <c r="J201" s="15">
        <f t="shared" si="18"/>
        <v>7.2206666666666672</v>
      </c>
      <c r="K201" s="15">
        <f t="shared" si="18"/>
        <v>7.3546499999999995</v>
      </c>
      <c r="L201" s="15">
        <f t="shared" si="18"/>
        <v>7.3130111111111109</v>
      </c>
      <c r="M201" s="15">
        <f t="shared" si="18"/>
        <v>7.1343333333333323</v>
      </c>
      <c r="N201" s="15">
        <f t="shared" si="18"/>
        <v>7.8808333333333334</v>
      </c>
      <c r="O201" s="34"/>
      <c r="P201" s="28"/>
    </row>
    <row r="202" spans="1:16" ht="15.6" x14ac:dyDescent="0.3">
      <c r="A202" s="39"/>
      <c r="B202" s="29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28"/>
    </row>
    <row r="203" spans="1:16" ht="15.6" x14ac:dyDescent="0.3">
      <c r="A203" s="41"/>
      <c r="B203" s="29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28"/>
    </row>
    <row r="204" spans="1:16" ht="15.6" x14ac:dyDescent="0.3">
      <c r="A204" s="39" t="s">
        <v>206</v>
      </c>
      <c r="B204" s="22" t="s">
        <v>226</v>
      </c>
      <c r="C204" s="15">
        <f t="shared" ref="C204:N204" si="19">C73/1000</f>
        <v>6.7186111111111124</v>
      </c>
      <c r="D204" s="15">
        <f t="shared" si="19"/>
        <v>6.8161111111111117</v>
      </c>
      <c r="E204" s="15">
        <f t="shared" si="19"/>
        <v>6.5602777777777774</v>
      </c>
      <c r="F204" s="15">
        <f t="shared" si="19"/>
        <v>7.4386111111111113</v>
      </c>
      <c r="G204" s="15">
        <f t="shared" si="19"/>
        <v>6.4644444444444442</v>
      </c>
      <c r="H204" s="15">
        <f t="shared" si="19"/>
        <v>6.2222222222222214</v>
      </c>
      <c r="I204" s="15">
        <f t="shared" si="19"/>
        <v>5.3241666666666667</v>
      </c>
      <c r="J204" s="15">
        <f t="shared" si="19"/>
        <v>5.4169444444444448</v>
      </c>
      <c r="K204" s="15">
        <f t="shared" si="19"/>
        <v>5.6736111111111107</v>
      </c>
      <c r="L204" s="15">
        <f t="shared" si="19"/>
        <v>5.341388888888889</v>
      </c>
      <c r="M204" s="15">
        <f t="shared" si="19"/>
        <v>4.745277777777777</v>
      </c>
      <c r="N204" s="15">
        <f t="shared" si="19"/>
        <v>4.3980555555555556</v>
      </c>
      <c r="O204" s="34"/>
      <c r="P204" s="28"/>
    </row>
    <row r="205" spans="1:16" ht="15.6" x14ac:dyDescent="0.3">
      <c r="A205" s="39" t="s">
        <v>207</v>
      </c>
      <c r="B205" s="22" t="s">
        <v>226</v>
      </c>
      <c r="C205" s="15">
        <f t="shared" ref="C205:N205" si="20">C88/1000</f>
        <v>8.7761111111111116</v>
      </c>
      <c r="D205" s="15">
        <f t="shared" si="20"/>
        <v>8.7138888888888868</v>
      </c>
      <c r="E205" s="15">
        <f t="shared" si="20"/>
        <v>8.8133333333333344</v>
      </c>
      <c r="F205" s="15">
        <f t="shared" si="20"/>
        <v>8.5969444444444427</v>
      </c>
      <c r="G205" s="15">
        <f t="shared" si="20"/>
        <v>8.6238888888888887</v>
      </c>
      <c r="H205" s="15">
        <f t="shared" si="20"/>
        <v>8.8388888888888886</v>
      </c>
      <c r="I205" s="15">
        <f t="shared" si="20"/>
        <v>9.0352777777777771</v>
      </c>
      <c r="J205" s="15">
        <f t="shared" si="20"/>
        <v>9.3505555555555553</v>
      </c>
      <c r="K205" s="15">
        <f t="shared" si="20"/>
        <v>9.6775000000000002</v>
      </c>
      <c r="L205" s="15">
        <f t="shared" si="20"/>
        <v>9.7083333333333339</v>
      </c>
      <c r="M205" s="15">
        <f t="shared" si="20"/>
        <v>9.1780000000000008</v>
      </c>
      <c r="N205" s="15">
        <f t="shared" si="20"/>
        <v>9.7202777777777776</v>
      </c>
      <c r="O205" s="34"/>
      <c r="P205" s="28"/>
    </row>
    <row r="206" spans="1:16" ht="15.6" x14ac:dyDescent="0.3">
      <c r="A206" s="39" t="s">
        <v>208</v>
      </c>
      <c r="B206" s="22" t="s">
        <v>226</v>
      </c>
      <c r="C206" s="15">
        <f t="shared" ref="C206:N206" si="21">C82/1000</f>
        <v>1.11100227E-2</v>
      </c>
      <c r="D206" s="15">
        <f t="shared" si="21"/>
        <v>1.34811471E-2</v>
      </c>
      <c r="E206" s="15">
        <f t="shared" si="21"/>
        <v>1.19899485E-2</v>
      </c>
      <c r="F206" s="15">
        <f t="shared" si="21"/>
        <v>1.5497789100000003E-2</v>
      </c>
      <c r="G206" s="15">
        <f t="shared" si="21"/>
        <v>1.5644443399999999E-2</v>
      </c>
      <c r="H206" s="15">
        <f t="shared" si="21"/>
        <v>1.6524485500000002E-2</v>
      </c>
      <c r="I206" s="15">
        <f t="shared" si="21"/>
        <v>1.3456724100000003E-2</v>
      </c>
      <c r="J206" s="15">
        <f t="shared" si="21"/>
        <v>1.4214418600000002E-2</v>
      </c>
      <c r="K206" s="15">
        <f t="shared" si="21"/>
        <v>1.5864482999999999E-2</v>
      </c>
      <c r="L206" s="15">
        <f t="shared" si="21"/>
        <v>1.5864482999999999E-2</v>
      </c>
      <c r="M206" s="15">
        <f t="shared" si="21"/>
        <v>1.388888888888889E-2</v>
      </c>
      <c r="N206" s="15">
        <f t="shared" si="21"/>
        <v>2.1666666666666667E-2</v>
      </c>
      <c r="O206" s="34"/>
      <c r="P206" s="28"/>
    </row>
    <row r="207" spans="1:16" ht="15.6" x14ac:dyDescent="0.3">
      <c r="A207" s="39" t="s">
        <v>209</v>
      </c>
      <c r="B207" s="22" t="s">
        <v>226</v>
      </c>
      <c r="C207" s="15">
        <f t="shared" ref="C207:N207" si="22">C108/1000</f>
        <v>11.942222222222222</v>
      </c>
      <c r="D207" s="15">
        <f t="shared" si="22"/>
        <v>10.876944444444444</v>
      </c>
      <c r="E207" s="15">
        <f t="shared" si="22"/>
        <v>11.290833333333333</v>
      </c>
      <c r="F207" s="15">
        <f t="shared" si="22"/>
        <v>10.859196704371021</v>
      </c>
      <c r="G207" s="15">
        <f t="shared" si="22"/>
        <v>10.329108888888889</v>
      </c>
      <c r="H207" s="15">
        <f t="shared" si="22"/>
        <v>9.967001549332295</v>
      </c>
      <c r="I207" s="15">
        <f t="shared" si="22"/>
        <v>10.8225</v>
      </c>
      <c r="J207" s="15">
        <f t="shared" si="22"/>
        <v>10.961111111111112</v>
      </c>
      <c r="K207" s="15">
        <f t="shared" si="22"/>
        <v>10.945248316317539</v>
      </c>
      <c r="L207" s="15">
        <f t="shared" si="22"/>
        <v>11.063623146193635</v>
      </c>
      <c r="M207" s="15">
        <f t="shared" si="22"/>
        <v>10.987222222222222</v>
      </c>
      <c r="N207" s="15">
        <f t="shared" si="22"/>
        <v>11.225277777777777</v>
      </c>
      <c r="O207" s="34"/>
      <c r="P207" s="28"/>
    </row>
    <row r="208" spans="1:16" ht="15.6" x14ac:dyDescent="0.3">
      <c r="A208" s="39" t="s">
        <v>149</v>
      </c>
      <c r="B208" s="22" t="s">
        <v>226</v>
      </c>
      <c r="C208" s="15">
        <f t="shared" ref="C208:N208" si="23">C125/1000</f>
        <v>1.1045681608476945</v>
      </c>
      <c r="D208" s="15">
        <f t="shared" si="23"/>
        <v>1.260672114848207</v>
      </c>
      <c r="E208" s="15">
        <f t="shared" si="23"/>
        <v>1.2788410312404692</v>
      </c>
      <c r="F208" s="15">
        <f t="shared" si="23"/>
        <v>1.2730684427401611</v>
      </c>
      <c r="G208" s="15">
        <f t="shared" si="23"/>
        <v>1.5162614444444447</v>
      </c>
      <c r="H208" s="15">
        <f t="shared" si="23"/>
        <v>1.5327176786666088</v>
      </c>
      <c r="I208" s="15">
        <f t="shared" si="23"/>
        <v>1.5088888888888889</v>
      </c>
      <c r="J208" s="15">
        <f t="shared" si="23"/>
        <v>1.5324218379575354</v>
      </c>
      <c r="K208" s="15">
        <f t="shared" si="23"/>
        <v>1.4441666666666668</v>
      </c>
      <c r="L208" s="15">
        <f t="shared" si="23"/>
        <v>1.3178486796428397</v>
      </c>
      <c r="M208" s="15">
        <f t="shared" si="23"/>
        <v>1.2727777777777776</v>
      </c>
      <c r="N208" s="15">
        <f t="shared" si="23"/>
        <v>0.99083333333333323</v>
      </c>
      <c r="O208" s="34"/>
      <c r="P208" s="28"/>
    </row>
    <row r="209" spans="1:16" ht="15.6" x14ac:dyDescent="0.3">
      <c r="A209" s="39" t="s">
        <v>210</v>
      </c>
      <c r="B209" s="22" t="s">
        <v>226</v>
      </c>
      <c r="C209" s="155">
        <f t="shared" ref="C209:N209" si="24">C141/1000</f>
        <v>4.9338888888888883</v>
      </c>
      <c r="D209" s="155">
        <f t="shared" si="24"/>
        <v>4.6772222222222215</v>
      </c>
      <c r="E209" s="155">
        <f t="shared" si="24"/>
        <v>4.9255555555555555</v>
      </c>
      <c r="F209" s="155">
        <f t="shared" si="24"/>
        <v>4.8600000000000003</v>
      </c>
      <c r="G209" s="155">
        <f t="shared" si="24"/>
        <v>5.3224999999999998</v>
      </c>
      <c r="H209" s="155">
        <f t="shared" si="24"/>
        <v>5.4124999999999996</v>
      </c>
      <c r="I209" s="155">
        <f t="shared" si="24"/>
        <v>5.7944444444444443</v>
      </c>
      <c r="J209" s="155">
        <f t="shared" si="24"/>
        <v>5.4505555555555558</v>
      </c>
      <c r="K209" s="155">
        <f t="shared" si="24"/>
        <v>5.701944444444444</v>
      </c>
      <c r="L209" s="155">
        <f t="shared" si="24"/>
        <v>5.4347222222222218</v>
      </c>
      <c r="M209" s="155">
        <f t="shared" si="24"/>
        <v>5.4836111111111112</v>
      </c>
      <c r="N209" s="155">
        <f t="shared" si="24"/>
        <v>5.908611111111111</v>
      </c>
      <c r="O209" s="34"/>
      <c r="P209" s="28"/>
    </row>
    <row r="210" spans="1:16" ht="15.6" x14ac:dyDescent="0.3">
      <c r="A210" s="24" t="s">
        <v>211</v>
      </c>
      <c r="B210" s="25" t="s">
        <v>103</v>
      </c>
      <c r="C210" s="87">
        <f>IFERROR((C204+C205+C207+C208+C209)/C200,"")</f>
        <v>1.007726563579239</v>
      </c>
      <c r="D210" s="87">
        <f t="shared" ref="D210:N210" si="25">IFERROR((D204+D205+D207+D208+D209)/D200,"")</f>
        <v>0.99238081729331884</v>
      </c>
      <c r="E210" s="87">
        <f t="shared" si="25"/>
        <v>1.0019984448083457</v>
      </c>
      <c r="F210" s="87">
        <f t="shared" si="25"/>
        <v>0.986190039680236</v>
      </c>
      <c r="G210" s="87">
        <f t="shared" si="25"/>
        <v>0.99721760238303481</v>
      </c>
      <c r="H210" s="87">
        <f t="shared" si="25"/>
        <v>0.98819529591389599</v>
      </c>
      <c r="I210" s="87">
        <f t="shared" si="25"/>
        <v>1.0106992541634618</v>
      </c>
      <c r="J210" s="87">
        <f t="shared" si="25"/>
        <v>0.99237359884430965</v>
      </c>
      <c r="K210" s="87">
        <f t="shared" si="25"/>
        <v>1.0080548672816048</v>
      </c>
      <c r="L210" s="87">
        <f t="shared" si="25"/>
        <v>0.99851468393470744</v>
      </c>
      <c r="M210" s="87">
        <f t="shared" si="25"/>
        <v>0.99999999999999978</v>
      </c>
      <c r="N210" s="87">
        <f t="shared" si="25"/>
        <v>1</v>
      </c>
      <c r="O210" s="34"/>
      <c r="P210" s="28"/>
    </row>
    <row r="211" spans="1:16" ht="15.6" x14ac:dyDescent="0.3">
      <c r="A211" s="33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271"/>
      <c r="O211" s="34"/>
      <c r="P211" s="28"/>
    </row>
    <row r="212" spans="1:16" ht="15.6" x14ac:dyDescent="0.3">
      <c r="A212" s="43" t="s">
        <v>212</v>
      </c>
      <c r="B212" s="22" t="s">
        <v>226</v>
      </c>
      <c r="C212" s="277">
        <f>'Households (ktoe)'!C171</f>
        <v>1.0043394474587133</v>
      </c>
      <c r="D212" s="277">
        <f>'Households (ktoe)'!D171</f>
        <v>1.0037917156567087</v>
      </c>
      <c r="E212" s="277">
        <f>'Households (ktoe)'!E171</f>
        <v>0.94572658933603815</v>
      </c>
      <c r="F212" s="277">
        <f>'Households (ktoe)'!F171</f>
        <v>0.98793773387198236</v>
      </c>
      <c r="G212" s="277">
        <f>'Households (ktoe)'!G171</f>
        <v>0.93904271092905633</v>
      </c>
      <c r="H212" s="277">
        <f>'Households (ktoe)'!H171</f>
        <v>0.96578107976654293</v>
      </c>
      <c r="I212" s="277">
        <f>'Households (ktoe)'!I171</f>
        <v>0.97389755611565576</v>
      </c>
      <c r="J212" s="277">
        <f>'Households (ktoe)'!J171</f>
        <v>0.98673864333232586</v>
      </c>
      <c r="K212" s="277">
        <f>'Households (ktoe)'!K171</f>
        <v>1.0145797661487732</v>
      </c>
      <c r="L212" s="277">
        <f>'Households (ktoe)'!L171</f>
        <v>1.0666781680147006</v>
      </c>
      <c r="M212" s="277">
        <f>'Households (ktoe)'!M171</f>
        <v>1.114071962958481</v>
      </c>
      <c r="N212" s="277">
        <f>'Households (ktoe)'!N171</f>
        <v>1.0003055083424677</v>
      </c>
      <c r="O212" s="34"/>
      <c r="P212" s="28"/>
    </row>
    <row r="213" spans="1:16" ht="15.6" x14ac:dyDescent="0.3">
      <c r="A213" s="43" t="s">
        <v>213</v>
      </c>
      <c r="B213" s="22" t="s">
        <v>226</v>
      </c>
      <c r="C213" s="277">
        <f>'Service (GWh)'!C93</f>
        <v>4.6695212432041808</v>
      </c>
      <c r="D213" s="277">
        <f>'Service (GWh)'!D93</f>
        <v>4.9020217032182316</v>
      </c>
      <c r="E213" s="277">
        <f>'Service (GWh)'!E93</f>
        <v>4.8428296267446402</v>
      </c>
      <c r="F213" s="277">
        <f>'Service (GWh)'!F93</f>
        <v>5.0444157708572162</v>
      </c>
      <c r="G213" s="277">
        <f>'Service (GWh)'!G93</f>
        <v>5.5306851323559441</v>
      </c>
      <c r="H213" s="277">
        <f>'Service (GWh)'!H93</f>
        <v>5.8876604510929669</v>
      </c>
      <c r="I213" s="277">
        <f>'Service (GWh)'!I93</f>
        <v>5.968404791104132</v>
      </c>
      <c r="J213" s="277">
        <f>'Service (GWh)'!J93</f>
        <v>5.6132694319839205</v>
      </c>
      <c r="K213" s="277">
        <f>'Service (GWh)'!K93</f>
        <v>5.9801966154117947</v>
      </c>
      <c r="L213" s="277">
        <f>'Service (GWh)'!L93</f>
        <v>5.8330037003179349</v>
      </c>
      <c r="M213" s="277">
        <f>'Service (GWh)'!M93</f>
        <v>6.0661782429382578</v>
      </c>
      <c r="N213" s="277">
        <f>'Service (GWh)'!N93</f>
        <v>5.908611111111111</v>
      </c>
      <c r="O213" s="34"/>
      <c r="P213" s="28"/>
    </row>
    <row r="214" spans="1:16" ht="15.6" x14ac:dyDescent="0.3">
      <c r="A214" s="39" t="s">
        <v>214</v>
      </c>
      <c r="B214" s="22" t="s">
        <v>226</v>
      </c>
      <c r="C214" s="206">
        <f>IFERROR(C200+C212+C213-C207-('Service (GWh)'!C19/1000),"")</f>
        <v>22.016484407066145</v>
      </c>
      <c r="D214" s="206">
        <f>IFERROR(D200+D212+D213-D207-('Service (GWh)'!D19/1000),"")</f>
        <v>22.944818867056476</v>
      </c>
      <c r="E214" s="206">
        <f>IFERROR(E200+E212+E213-E207-('Service (GWh)'!E19/1000),"")</f>
        <v>22.375452802876701</v>
      </c>
      <c r="F214" s="206">
        <f>IFERROR(F200+F212+F213-F207-('Service (GWh)'!F19/1000),"")</f>
        <v>23.803199725247129</v>
      </c>
      <c r="G214" s="206">
        <f>IFERROR(G200+G212+G213-G207-('Service (GWh)'!G19/1000),"")</f>
        <v>23.164600398840555</v>
      </c>
      <c r="H214" s="206">
        <f>IFERROR(H200+H212+H213-H207-('Service (GWh)'!H19/1000),"")</f>
        <v>23.829214765081673</v>
      </c>
      <c r="I214" s="206">
        <f>IFERROR(I200+I212+I213-I207-('Service (GWh)'!I19/1000),"")</f>
        <v>22.46702456944201</v>
      </c>
      <c r="J214" s="206">
        <f>IFERROR(J200+J212+J213-J207-('Service (GWh)'!J19/1000),"")</f>
        <v>23.150763246607109</v>
      </c>
      <c r="K214" s="206">
        <f>IFERROR(K200+K212+K213-K207-('Service (GWh)'!K19/1000),"")</f>
        <v>23.522276381560559</v>
      </c>
      <c r="L214" s="206">
        <f>IFERROR(L200+L212+L213-L207-('Service (GWh)'!L19/1000),"")</f>
        <v>23.315863881308818</v>
      </c>
      <c r="M214" s="206">
        <f>IFERROR(M200+M212+M213-M207-('Service (GWh)'!M19/1000),"")</f>
        <v>22.376027983674522</v>
      </c>
      <c r="N214" s="206">
        <f>IFERROR(N200+N212+N213-N207-('Service (GWh)'!N19/1000),"")</f>
        <v>22.018083286120248</v>
      </c>
      <c r="O214" s="34"/>
      <c r="P214" s="28"/>
    </row>
    <row r="215" spans="1:16" ht="15.6" x14ac:dyDescent="0.3">
      <c r="A215" s="39" t="s">
        <v>215</v>
      </c>
      <c r="B215" s="22" t="s">
        <v>226</v>
      </c>
      <c r="C215" s="206">
        <f>IFERROR(C199+C214-C200,"""")</f>
        <v>57.304971801774023</v>
      </c>
      <c r="D215" s="206">
        <f t="shared" ref="D215:N215" si="26">IFERROR(D199+D214-D200,"""")</f>
        <v>56.932757863319395</v>
      </c>
      <c r="E215" s="206">
        <f t="shared" si="26"/>
        <v>50.384111771636235</v>
      </c>
      <c r="F215" s="206">
        <f t="shared" si="26"/>
        <v>58.224545689247037</v>
      </c>
      <c r="G215" s="206">
        <f t="shared" si="26"/>
        <v>55.238396732173896</v>
      </c>
      <c r="H215" s="206">
        <f t="shared" si="26"/>
        <v>47.313384425971655</v>
      </c>
      <c r="I215" s="206">
        <f t="shared" si="26"/>
        <v>59.854524569442013</v>
      </c>
      <c r="J215" s="206">
        <f t="shared" si="26"/>
        <v>58.261119186427351</v>
      </c>
      <c r="K215" s="206">
        <f t="shared" si="26"/>
        <v>56.038694731909672</v>
      </c>
      <c r="L215" s="206">
        <f t="shared" si="26"/>
        <v>45.39828094436124</v>
      </c>
      <c r="M215" s="206">
        <f t="shared" si="26"/>
        <v>42.645527983674526</v>
      </c>
      <c r="N215" s="206">
        <f t="shared" si="26"/>
        <v>42.656637730564697</v>
      </c>
      <c r="O215" s="34"/>
      <c r="P215" s="28"/>
    </row>
    <row r="216" spans="1:16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ht="18" x14ac:dyDescent="0.3">
      <c r="A217" s="153" t="s">
        <v>216</v>
      </c>
      <c r="B217" s="15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x14ac:dyDescent="0.3">
      <c r="A218" s="39" t="s">
        <v>217</v>
      </c>
      <c r="B218" s="22" t="s">
        <v>227</v>
      </c>
      <c r="C218" s="249">
        <f>IFERROR(C199/C190*1000,"")</f>
        <v>3.9138485484421808</v>
      </c>
      <c r="D218" s="249">
        <f t="shared" ref="D218:N218" si="27">IFERROR(D199/D190*1000,"")</f>
        <v>3.5462453521478512</v>
      </c>
      <c r="E218" s="249">
        <f t="shared" si="27"/>
        <v>3.1376769469612009</v>
      </c>
      <c r="F218" s="249">
        <f t="shared" si="27"/>
        <v>3.4536214416604358</v>
      </c>
      <c r="G218" s="249">
        <f t="shared" si="27"/>
        <v>3.1802922590837284</v>
      </c>
      <c r="H218" s="249">
        <f t="shared" si="27"/>
        <v>2.7065271597877238</v>
      </c>
      <c r="I218" s="249">
        <f t="shared" si="27"/>
        <v>3.2669665493031275</v>
      </c>
      <c r="J218" s="249">
        <f t="shared" si="27"/>
        <v>3.0234524089759018</v>
      </c>
      <c r="K218" s="249">
        <f t="shared" si="27"/>
        <v>2.811288806341679</v>
      </c>
      <c r="L218" s="249">
        <f t="shared" si="27"/>
        <v>2.268768706828193</v>
      </c>
      <c r="M218" s="249">
        <f t="shared" si="27"/>
        <v>2.1543753739054763</v>
      </c>
      <c r="N218" s="249">
        <f t="shared" si="27"/>
        <v>2.0308461857507143</v>
      </c>
      <c r="O218" s="33"/>
      <c r="P218" s="33"/>
    </row>
    <row r="219" spans="1:16" x14ac:dyDescent="0.3">
      <c r="A219" s="39" t="s">
        <v>219</v>
      </c>
      <c r="B219" s="22" t="s">
        <v>227</v>
      </c>
      <c r="C219" s="249">
        <f>IFERROR(C215/C190*1000,"")</f>
        <v>3.2738589221639884</v>
      </c>
      <c r="D219" s="249">
        <f t="shared" ref="D219:N219" si="28">IFERROR(D215/D190*1000,"")</f>
        <v>3.0323544408988181</v>
      </c>
      <c r="E219" s="249">
        <f t="shared" si="28"/>
        <v>2.5996384006994528</v>
      </c>
      <c r="F219" s="249">
        <f t="shared" si="28"/>
        <v>2.9609866653739609</v>
      </c>
      <c r="G219" s="249">
        <f t="shared" si="28"/>
        <v>2.7270140566831507</v>
      </c>
      <c r="H219" s="249">
        <f t="shared" si="28"/>
        <v>2.2932706663615483</v>
      </c>
      <c r="I219" s="249">
        <f t="shared" si="28"/>
        <v>2.8123954332895731</v>
      </c>
      <c r="J219" s="249">
        <f t="shared" si="28"/>
        <v>2.5876464766502196</v>
      </c>
      <c r="K219" s="249">
        <f t="shared" si="28"/>
        <v>2.3981878252718425</v>
      </c>
      <c r="L219" s="249">
        <f t="shared" si="28"/>
        <v>1.8727891153154259</v>
      </c>
      <c r="M219" s="249">
        <f t="shared" si="28"/>
        <v>1.7689808101941529</v>
      </c>
      <c r="N219" s="249">
        <f t="shared" si="28"/>
        <v>1.638170056321419</v>
      </c>
      <c r="O219" s="33"/>
      <c r="P219" s="33"/>
    </row>
    <row r="220" spans="1:16" x14ac:dyDescent="0.3">
      <c r="A220" s="39" t="s">
        <v>220</v>
      </c>
      <c r="B220" s="22" t="s">
        <v>227</v>
      </c>
      <c r="C220" s="249">
        <f>IFERROR(C200/C190*1000,"")</f>
        <v>1.8978013247131686</v>
      </c>
      <c r="D220" s="249">
        <f t="shared" ref="D220:N220" si="29">IFERROR(D200/D190*1000,"")</f>
        <v>1.7359786160845057</v>
      </c>
      <c r="E220" s="249">
        <f t="shared" si="29"/>
        <v>1.6925311887646228</v>
      </c>
      <c r="F220" s="249">
        <f t="shared" si="29"/>
        <v>1.7031372567327303</v>
      </c>
      <c r="G220" s="249">
        <f t="shared" si="29"/>
        <v>1.5968702442074776</v>
      </c>
      <c r="H220" s="249">
        <f t="shared" si="29"/>
        <v>1.5682539616097044</v>
      </c>
      <c r="I220" s="249">
        <f t="shared" si="29"/>
        <v>1.5102332861373196</v>
      </c>
      <c r="J220" s="249">
        <f t="shared" si="29"/>
        <v>1.4640386848609639</v>
      </c>
      <c r="K220" s="249">
        <f t="shared" si="29"/>
        <v>1.4197417872272355</v>
      </c>
      <c r="L220" s="249">
        <f t="shared" si="29"/>
        <v>1.3578154844754675</v>
      </c>
      <c r="M220" s="249">
        <f t="shared" si="29"/>
        <v>1.3135754535490716</v>
      </c>
      <c r="N220" s="249">
        <f t="shared" si="29"/>
        <v>1.2382506204321007</v>
      </c>
      <c r="O220" s="33"/>
      <c r="P220" s="33"/>
    </row>
    <row r="221" spans="1:16" x14ac:dyDescent="0.3">
      <c r="A221" s="39" t="s">
        <v>221</v>
      </c>
      <c r="B221" s="22" t="s">
        <v>227</v>
      </c>
      <c r="C221" s="249">
        <f>IFERROR(C214/C190*1000,"")</f>
        <v>1.2578116984349768</v>
      </c>
      <c r="D221" s="249">
        <f t="shared" ref="D221:N221" si="30">IFERROR(D214/D190*1000,"")</f>
        <v>1.2220877048354726</v>
      </c>
      <c r="E221" s="249">
        <f t="shared" si="30"/>
        <v>1.1544926425028739</v>
      </c>
      <c r="F221" s="249">
        <f t="shared" si="30"/>
        <v>1.2105024804462556</v>
      </c>
      <c r="G221" s="249">
        <f t="shared" si="30"/>
        <v>1.1435920418068994</v>
      </c>
      <c r="H221" s="249">
        <f t="shared" si="30"/>
        <v>1.1549974681835296</v>
      </c>
      <c r="I221" s="249">
        <f t="shared" si="30"/>
        <v>1.0556621701237647</v>
      </c>
      <c r="J221" s="249">
        <f t="shared" si="30"/>
        <v>1.0282327525352812</v>
      </c>
      <c r="K221" s="249">
        <f t="shared" si="30"/>
        <v>1.006640806157399</v>
      </c>
      <c r="L221" s="249">
        <f t="shared" si="30"/>
        <v>0.96183589296270033</v>
      </c>
      <c r="M221" s="249">
        <f t="shared" si="30"/>
        <v>0.92818088983774782</v>
      </c>
      <c r="N221" s="249">
        <f t="shared" si="30"/>
        <v>0.84557449100280535</v>
      </c>
      <c r="O221" s="33"/>
      <c r="P221" s="33"/>
    </row>
    <row r="222" spans="1:16" x14ac:dyDescent="0.3">
      <c r="A222" s="39" t="s">
        <v>222</v>
      </c>
      <c r="B222" s="22" t="s">
        <v>103</v>
      </c>
      <c r="C222" s="38">
        <f>IFERROR(C220/C218,"")</f>
        <v>0.48489390972181223</v>
      </c>
      <c r="D222" s="38">
        <f t="shared" ref="D222:N222" si="31">IFERROR(D220/D218,"")</f>
        <v>0.48952580650774125</v>
      </c>
      <c r="E222" s="38">
        <f t="shared" si="31"/>
        <v>0.53942174971321288</v>
      </c>
      <c r="F222" s="38">
        <f t="shared" si="31"/>
        <v>0.49314532165803737</v>
      </c>
      <c r="G222" s="38">
        <f t="shared" si="31"/>
        <v>0.50211430715098826</v>
      </c>
      <c r="H222" s="38">
        <f t="shared" si="31"/>
        <v>0.5794340381689369</v>
      </c>
      <c r="I222" s="38">
        <f t="shared" si="31"/>
        <v>0.46227387496803896</v>
      </c>
      <c r="J222" s="38">
        <f t="shared" si="31"/>
        <v>0.48422746146576867</v>
      </c>
      <c r="K222" s="38">
        <f t="shared" si="31"/>
        <v>0.50501456272461065</v>
      </c>
      <c r="L222" s="38">
        <f t="shared" si="31"/>
        <v>0.5984812292187045</v>
      </c>
      <c r="M222" s="38">
        <f t="shared" si="31"/>
        <v>0.60972450273037004</v>
      </c>
      <c r="N222" s="38">
        <f t="shared" si="31"/>
        <v>0.60972151860647883</v>
      </c>
      <c r="O222" s="33"/>
      <c r="P222" s="33"/>
    </row>
    <row r="223" spans="1:16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</sheetData>
  <mergeCells count="7">
    <mergeCell ref="M2:N2"/>
    <mergeCell ref="A2:B2"/>
    <mergeCell ref="C2:D2"/>
    <mergeCell ref="E2:F2"/>
    <mergeCell ref="G2:H2"/>
    <mergeCell ref="I2:J2"/>
    <mergeCell ref="K2:L2"/>
  </mergeCells>
  <conditionalFormatting sqref="C10:N222">
    <cfRule type="containsBlanks" dxfId="1139" priority="1">
      <formula>LEN(TRIM(C10))=0</formula>
    </cfRule>
  </conditionalFormatting>
  <conditionalFormatting sqref="C177:N179">
    <cfRule type="containsBlanks" dxfId="1138" priority="42">
      <formula>LEN(TRIM(C177))=0</formula>
    </cfRule>
    <cfRule type="cellIs" dxfId="1137" priority="43" operator="between">
      <formula>-1000000000000000</formula>
      <formula>10000000000000</formula>
    </cfRule>
  </conditionalFormatting>
  <conditionalFormatting sqref="C183:N186">
    <cfRule type="containsBlanks" dxfId="1136" priority="48">
      <formula>LEN(TRIM(C183))=0</formula>
    </cfRule>
    <cfRule type="cellIs" dxfId="1135" priority="49" operator="between">
      <formula>-1000000000000000</formula>
      <formula>10000000000000</formula>
    </cfRule>
  </conditionalFormatting>
  <conditionalFormatting sqref="O15:O16 O20:O22 O24:O26 O83:O84 O94:O108 O113:O116 O129:O132">
    <cfRule type="expression" dxfId="1134" priority="82">
      <formula>AND(COUNT(K15:XEK15)&lt;&gt;0,(O15)="")</formula>
    </cfRule>
    <cfRule type="expression" dxfId="1133" priority="83">
      <formula>AND($AI15&lt;&gt;"",ISBLANK($E15:$AE15))</formula>
    </cfRule>
  </conditionalFormatting>
  <conditionalFormatting sqref="P30:P31 P35">
    <cfRule type="expression" dxfId="1132" priority="25">
      <formula>AND($AM30&lt;&gt;"",ISBLANK($E30:$AG30))</formula>
    </cfRule>
  </conditionalFormatting>
  <conditionalFormatting sqref="P30:P31">
    <cfRule type="expression" dxfId="1131" priority="24">
      <formula>AND(COUNT(J30:XEL30)&lt;&gt;0,(P30)="")</formula>
    </cfRule>
  </conditionalFormatting>
  <conditionalFormatting sqref="P35">
    <cfRule type="expression" dxfId="1130" priority="23">
      <formula>AND(COUNT(J35:XEL35)&lt;&gt;0,(P35)="")</formula>
    </cfRule>
  </conditionalFormatting>
  <dataValidations count="3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20:O22 O24:O26 O83:O84 O113:O116 O129:O132 O172 O167:O168 P35 P30:P31 P60:P73 P78:P90 P94:P108 P113:P125 P129:P141 P146:P158 P161" xr:uid="{B6FC4470-C2FE-4D53-8B7D-EA8AC7ADBAEA}">
      <formula1>AND(LEN(O20)&lt;21,ISERROR(SEARCH("&amp;",O20))=TRUE,ISERROR(SEARCH(" ",O20))=TRUE,ISERROR(SEARCH("/",O20))=TRUE,ISERROR(SEARCH(";",O20))=TRUE,ISERROR(SEARCH("=",O20))=TRUE,ISERROR(SEARCH("'",O20))=TRUE)</formula1>
    </dataValidation>
    <dataValidation type="decimal" operator="greaterThan" allowBlank="1" showInputMessage="1" showErrorMessage="1" error="The value must be positive" sqref="C189:E189 O192:O195" xr:uid="{6C202F5F-9C47-4BEE-BC6F-9922989A3C5A}">
      <formula1>0</formula1>
    </dataValidation>
    <dataValidation type="custom" operator="lessThanOrEqual" showInputMessage="1" showErrorMessage="1" error="Invalid source name, please refer to the guidelines" sqref="O3" xr:uid="{E91E7F97-1417-4D77-9AE3-A2FEEAA77B5F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hyperlinks>
    <hyperlink ref="P167" r:id="rId1" xr:uid="{89E90C26-DFC0-459A-929F-4933A837A3EA}"/>
    <hyperlink ref="P168" r:id="rId2" xr:uid="{15AC3A9C-80A9-46C5-B49C-80AE8DFB0E39}"/>
    <hyperlink ref="P15" r:id="rId3" xr:uid="{0AB3963F-B719-42F2-AF91-3FB84B5B4274}"/>
    <hyperlink ref="P16" r:id="rId4" xr:uid="{B2DAB12C-DE7E-4238-84A9-12F29055920D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69E5-BAC8-42E5-9562-EC619C982C3A}">
  <sheetPr>
    <tabColor theme="5" tint="-0.249977111117893"/>
  </sheetPr>
  <dimension ref="A2:P513"/>
  <sheetViews>
    <sheetView zoomScaleNormal="100" workbookViewId="0">
      <pane xSplit="2" ySplit="2" topLeftCell="N97" activePane="bottomRight" state="frozen"/>
      <selection pane="topRight" activeCell="C1" sqref="C1"/>
      <selection pane="bottomLeft" activeCell="A3" sqref="A3"/>
      <selection pane="bottomRight" activeCell="A114" sqref="A114"/>
    </sheetView>
  </sheetViews>
  <sheetFormatPr defaultRowHeight="14.4" x14ac:dyDescent="0.3"/>
  <cols>
    <col min="1" max="1" width="60.88671875" customWidth="1"/>
    <col min="2" max="2" width="14.109375" customWidth="1"/>
    <col min="3" max="3" width="11.5546875" customWidth="1"/>
    <col min="4" max="14" width="9.6640625" bestFit="1" customWidth="1"/>
    <col min="16" max="16" width="35.6640625" customWidth="1"/>
  </cols>
  <sheetData>
    <row r="2" spans="1:16" x14ac:dyDescent="0.3">
      <c r="A2" s="1" t="s">
        <v>55</v>
      </c>
      <c r="B2" s="49"/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>
        <v>2019</v>
      </c>
      <c r="M2" s="5">
        <v>2020</v>
      </c>
      <c r="N2" s="5">
        <v>2021</v>
      </c>
      <c r="O2" s="1" t="s">
        <v>57</v>
      </c>
      <c r="P2" s="214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3">
      <c r="A4" s="49"/>
      <c r="B4" s="4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/>
      <c r="P4" s="51"/>
    </row>
    <row r="5" spans="1:16" ht="18" x14ac:dyDescent="0.35">
      <c r="A5" s="48" t="s">
        <v>228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3">
      <c r="A6" s="49"/>
      <c r="B6" s="4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1"/>
      <c r="P6" s="51"/>
    </row>
    <row r="7" spans="1:16" ht="15.6" x14ac:dyDescent="0.3">
      <c r="A7" s="8" t="s">
        <v>229</v>
      </c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4"/>
      <c r="P7" s="54"/>
    </row>
    <row r="8" spans="1:16" ht="15.6" x14ac:dyDescent="0.3">
      <c r="A8" s="8"/>
      <c r="B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3">
      <c r="A9" s="49" t="s">
        <v>230</v>
      </c>
      <c r="B9" s="22" t="s">
        <v>63</v>
      </c>
      <c r="C9" s="17">
        <v>269.15899999999999</v>
      </c>
      <c r="D9" s="17">
        <v>287.10180000000003</v>
      </c>
      <c r="E9" s="17">
        <v>309.38780000000003</v>
      </c>
      <c r="F9" s="17">
        <v>335.0917</v>
      </c>
      <c r="G9" s="17">
        <v>397.45519999999999</v>
      </c>
      <c r="H9" s="17">
        <v>380.22430000000003</v>
      </c>
      <c r="I9" s="17">
        <v>386.01870000000002</v>
      </c>
      <c r="J9" s="17">
        <v>397.37720000000002</v>
      </c>
      <c r="K9" s="17">
        <v>429.5</v>
      </c>
      <c r="L9" s="17">
        <v>453.2</v>
      </c>
      <c r="M9" s="17">
        <v>459.6</v>
      </c>
      <c r="N9" s="17">
        <v>493.6</v>
      </c>
      <c r="O9" s="18" t="s">
        <v>8</v>
      </c>
      <c r="P9" s="58" t="s">
        <v>231</v>
      </c>
    </row>
    <row r="10" spans="1:16" x14ac:dyDescent="0.3">
      <c r="A10" s="49" t="s">
        <v>232</v>
      </c>
      <c r="B10" s="22" t="s">
        <v>63</v>
      </c>
      <c r="C10" s="17">
        <v>134.52549999999999</v>
      </c>
      <c r="D10" s="17">
        <v>145.03550000000001</v>
      </c>
      <c r="E10" s="17">
        <v>157</v>
      </c>
      <c r="F10" s="17">
        <v>154.50190000000001</v>
      </c>
      <c r="G10" s="17">
        <v>169.67930000000001</v>
      </c>
      <c r="H10" s="17">
        <v>172.76130000000001</v>
      </c>
      <c r="I10" s="17">
        <v>179.988</v>
      </c>
      <c r="J10" s="17">
        <v>191.72980000000001</v>
      </c>
      <c r="K10" s="17">
        <v>188.5</v>
      </c>
      <c r="L10" s="17">
        <v>188.5</v>
      </c>
      <c r="M10" s="17">
        <v>180.8</v>
      </c>
      <c r="N10" s="17">
        <v>177.4</v>
      </c>
      <c r="O10" s="18" t="s">
        <v>8</v>
      </c>
      <c r="P10" s="58" t="s">
        <v>231</v>
      </c>
    </row>
    <row r="11" spans="1:16" x14ac:dyDescent="0.3">
      <c r="A11" s="49" t="s">
        <v>233</v>
      </c>
      <c r="B11" s="22" t="s">
        <v>63</v>
      </c>
      <c r="C11" s="17">
        <v>285.92959999999999</v>
      </c>
      <c r="D11" s="17">
        <v>332.3337366812799</v>
      </c>
      <c r="E11" s="17">
        <v>350.58962206572363</v>
      </c>
      <c r="F11" s="17">
        <v>378.653749205125</v>
      </c>
      <c r="G11" s="17">
        <v>442.62186105365629</v>
      </c>
      <c r="H11" s="17">
        <v>481.22067505870598</v>
      </c>
      <c r="I11" s="17">
        <v>493.5</v>
      </c>
      <c r="J11" s="17">
        <v>542.29999999999995</v>
      </c>
      <c r="K11" s="17">
        <v>566.6</v>
      </c>
      <c r="L11" s="17">
        <v>579.70000000000005</v>
      </c>
      <c r="M11" s="17">
        <v>615.6</v>
      </c>
      <c r="N11" s="17">
        <v>788.2</v>
      </c>
      <c r="O11" s="18" t="s">
        <v>8</v>
      </c>
      <c r="P11" s="58" t="s">
        <v>231</v>
      </c>
    </row>
    <row r="12" spans="1:16" x14ac:dyDescent="0.3">
      <c r="A12" s="49" t="s">
        <v>234</v>
      </c>
      <c r="B12" s="22" t="s">
        <v>63</v>
      </c>
      <c r="C12" s="17">
        <v>123.52940000000001</v>
      </c>
      <c r="D12" s="17">
        <v>124.19800000000001</v>
      </c>
      <c r="E12" s="17">
        <v>128</v>
      </c>
      <c r="F12" s="17">
        <v>127</v>
      </c>
      <c r="G12" s="17">
        <v>130.249</v>
      </c>
      <c r="H12" s="17">
        <v>133.75378118619403</v>
      </c>
      <c r="I12" s="17">
        <v>140</v>
      </c>
      <c r="J12" s="17">
        <v>156.80000000000001</v>
      </c>
      <c r="K12" s="17">
        <v>159.30000000000001</v>
      </c>
      <c r="L12" s="17">
        <v>145.69999999999999</v>
      </c>
      <c r="M12" s="17">
        <v>129.19999999999999</v>
      </c>
      <c r="N12" s="17">
        <v>144.9</v>
      </c>
      <c r="O12" s="18" t="s">
        <v>8</v>
      </c>
      <c r="P12" s="58" t="s">
        <v>231</v>
      </c>
    </row>
    <row r="13" spans="1:16" x14ac:dyDescent="0.3">
      <c r="A13" s="62" t="s">
        <v>235</v>
      </c>
      <c r="B13" s="22" t="s">
        <v>63</v>
      </c>
      <c r="C13" s="61">
        <v>58.563599311359411</v>
      </c>
      <c r="D13" s="61">
        <v>56.159799999999997</v>
      </c>
      <c r="E13" s="61">
        <v>51.846899999999998</v>
      </c>
      <c r="F13" s="61">
        <v>50.133400000000002</v>
      </c>
      <c r="G13" s="61">
        <v>52.782600000000002</v>
      </c>
      <c r="H13" s="61">
        <v>56.528296203496801</v>
      </c>
      <c r="I13" s="61">
        <v>57.5</v>
      </c>
      <c r="J13" s="61">
        <v>69.5</v>
      </c>
      <c r="K13" s="61">
        <v>76.2</v>
      </c>
      <c r="L13" s="61">
        <v>62.4</v>
      </c>
      <c r="M13" s="61">
        <v>54.8</v>
      </c>
      <c r="N13" s="61">
        <v>66.900000000000006</v>
      </c>
      <c r="O13" s="18" t="s">
        <v>8</v>
      </c>
      <c r="P13" s="59" t="s">
        <v>231</v>
      </c>
    </row>
    <row r="14" spans="1:16" x14ac:dyDescent="0.3">
      <c r="A14" s="49" t="s">
        <v>236</v>
      </c>
      <c r="B14" s="22" t="s">
        <v>63</v>
      </c>
      <c r="C14" s="17">
        <v>74.570800000000006</v>
      </c>
      <c r="D14" s="17">
        <v>135.1532</v>
      </c>
      <c r="E14" s="17">
        <v>172.32499999999999</v>
      </c>
      <c r="F14" s="17">
        <v>124.55329999999999</v>
      </c>
      <c r="G14" s="17">
        <v>127.3051</v>
      </c>
      <c r="H14" s="17">
        <v>90.664699999999996</v>
      </c>
      <c r="I14" s="17">
        <v>68.136200000000002</v>
      </c>
      <c r="J14" s="17">
        <v>65.074799999999996</v>
      </c>
      <c r="K14" s="17">
        <v>83.6</v>
      </c>
      <c r="L14" s="17">
        <v>104.8</v>
      </c>
      <c r="M14" s="17">
        <v>83.3</v>
      </c>
      <c r="N14" s="17">
        <v>104.6</v>
      </c>
      <c r="O14" s="18" t="s">
        <v>8</v>
      </c>
      <c r="P14" s="58" t="s">
        <v>231</v>
      </c>
    </row>
    <row r="15" spans="1:16" x14ac:dyDescent="0.3">
      <c r="A15" s="49" t="s">
        <v>237</v>
      </c>
      <c r="B15" s="22" t="s">
        <v>63</v>
      </c>
      <c r="C15" s="17">
        <v>104.1</v>
      </c>
      <c r="D15" s="17">
        <v>128.9</v>
      </c>
      <c r="E15" s="17">
        <v>88.399999999999991</v>
      </c>
      <c r="F15" s="17">
        <v>98.7</v>
      </c>
      <c r="G15" s="17">
        <v>106</v>
      </c>
      <c r="H15" s="17">
        <v>117.1</v>
      </c>
      <c r="I15" s="17">
        <v>131.20000000000002</v>
      </c>
      <c r="J15" s="17">
        <v>122.7</v>
      </c>
      <c r="K15" s="17">
        <v>136.6</v>
      </c>
      <c r="L15" s="17">
        <v>128.30000000000001</v>
      </c>
      <c r="M15" s="17">
        <v>138</v>
      </c>
      <c r="N15" s="17">
        <v>158.1</v>
      </c>
      <c r="O15" s="18" t="s">
        <v>8</v>
      </c>
      <c r="P15" s="58" t="s">
        <v>231</v>
      </c>
    </row>
    <row r="16" spans="1:16" x14ac:dyDescent="0.3">
      <c r="A16" s="49" t="s">
        <v>238</v>
      </c>
      <c r="B16" s="22" t="s">
        <v>63</v>
      </c>
      <c r="C16" s="17">
        <v>96.8</v>
      </c>
      <c r="D16" s="17">
        <v>119.3</v>
      </c>
      <c r="E16" s="17">
        <v>120.2</v>
      </c>
      <c r="F16" s="17">
        <v>124.8</v>
      </c>
      <c r="G16" s="17">
        <v>132.5</v>
      </c>
      <c r="H16" s="17">
        <v>141</v>
      </c>
      <c r="I16" s="17">
        <v>162.1</v>
      </c>
      <c r="J16" s="17">
        <v>188.6</v>
      </c>
      <c r="K16" s="17">
        <v>182.3</v>
      </c>
      <c r="L16" s="17">
        <v>183.3</v>
      </c>
      <c r="M16" s="17">
        <v>170.7</v>
      </c>
      <c r="N16" s="17">
        <v>185.4</v>
      </c>
      <c r="O16" s="18" t="s">
        <v>8</v>
      </c>
      <c r="P16" s="58" t="s">
        <v>231</v>
      </c>
    </row>
    <row r="17" spans="1:16" x14ac:dyDescent="0.3">
      <c r="A17" s="49" t="s">
        <v>239</v>
      </c>
      <c r="B17" s="22" t="s">
        <v>63</v>
      </c>
      <c r="C17" s="17">
        <v>9.1999999999999993</v>
      </c>
      <c r="D17" s="17">
        <v>9.9</v>
      </c>
      <c r="E17" s="17">
        <v>7.8</v>
      </c>
      <c r="F17" s="17">
        <v>8.6</v>
      </c>
      <c r="G17" s="17">
        <v>10.8</v>
      </c>
      <c r="H17" s="17">
        <v>12</v>
      </c>
      <c r="I17" s="17">
        <v>16.399999999999999</v>
      </c>
      <c r="J17" s="17">
        <v>29.1</v>
      </c>
      <c r="K17" s="17">
        <v>31.8</v>
      </c>
      <c r="L17" s="17">
        <v>33</v>
      </c>
      <c r="M17" s="17">
        <v>32.9</v>
      </c>
      <c r="N17" s="17">
        <v>39.4</v>
      </c>
      <c r="O17" s="18" t="s">
        <v>8</v>
      </c>
      <c r="P17" s="58" t="s">
        <v>231</v>
      </c>
    </row>
    <row r="18" spans="1:16" x14ac:dyDescent="0.3">
      <c r="A18" s="49" t="s">
        <v>240</v>
      </c>
      <c r="B18" s="22" t="s">
        <v>63</v>
      </c>
      <c r="C18" s="17">
        <v>530.6</v>
      </c>
      <c r="D18" s="17">
        <v>705.00000000000011</v>
      </c>
      <c r="E18" s="17">
        <v>693.3</v>
      </c>
      <c r="F18" s="17">
        <v>741.6</v>
      </c>
      <c r="G18" s="17">
        <v>790.5</v>
      </c>
      <c r="H18" s="17">
        <v>778</v>
      </c>
      <c r="I18" s="17">
        <v>859.6</v>
      </c>
      <c r="J18" s="17">
        <v>927.4</v>
      </c>
      <c r="K18" s="17">
        <v>992.6</v>
      </c>
      <c r="L18" s="17">
        <v>1043.0999999999999</v>
      </c>
      <c r="M18" s="17">
        <v>1001.9000000000001</v>
      </c>
      <c r="N18" s="17">
        <v>1126.8</v>
      </c>
      <c r="O18" s="18" t="s">
        <v>8</v>
      </c>
      <c r="P18" s="58" t="s">
        <v>231</v>
      </c>
    </row>
    <row r="19" spans="1:16" x14ac:dyDescent="0.3">
      <c r="A19" s="62" t="s">
        <v>241</v>
      </c>
      <c r="B19" s="22" t="s">
        <v>63</v>
      </c>
      <c r="C19" s="61">
        <v>231.8142</v>
      </c>
      <c r="D19" s="61">
        <v>272.00319999999999</v>
      </c>
      <c r="E19" s="61">
        <v>290.84550000000002</v>
      </c>
      <c r="F19" s="61">
        <v>309.4769</v>
      </c>
      <c r="G19" s="61">
        <v>331.60610000000003</v>
      </c>
      <c r="H19" s="61">
        <v>334.5</v>
      </c>
      <c r="I19" s="61">
        <v>365.6</v>
      </c>
      <c r="J19" s="61">
        <v>393.8</v>
      </c>
      <c r="K19" s="61">
        <v>407.6</v>
      </c>
      <c r="L19" s="61">
        <v>448.5</v>
      </c>
      <c r="M19" s="61">
        <v>429.9</v>
      </c>
      <c r="N19" s="61">
        <v>512.70000000000005</v>
      </c>
      <c r="O19" s="18" t="s">
        <v>8</v>
      </c>
      <c r="P19" s="59" t="s">
        <v>231</v>
      </c>
    </row>
    <row r="20" spans="1:16" x14ac:dyDescent="0.3">
      <c r="A20" s="49" t="s">
        <v>242</v>
      </c>
      <c r="B20" s="22" t="s">
        <v>63</v>
      </c>
      <c r="C20" s="61">
        <v>102.89999999999999</v>
      </c>
      <c r="D20" s="61">
        <v>108.80000000000001</v>
      </c>
      <c r="E20" s="61">
        <v>108.5</v>
      </c>
      <c r="F20" s="61">
        <v>111.80000000000001</v>
      </c>
      <c r="G20" s="61">
        <v>112</v>
      </c>
      <c r="H20" s="61">
        <v>122.2</v>
      </c>
      <c r="I20" s="61">
        <v>123.5</v>
      </c>
      <c r="J20" s="61">
        <v>116.5</v>
      </c>
      <c r="K20" s="61">
        <v>134</v>
      </c>
      <c r="L20" s="61">
        <v>120.69999999999999</v>
      </c>
      <c r="M20" s="61">
        <v>126.10000000000001</v>
      </c>
      <c r="N20" s="61">
        <v>133</v>
      </c>
      <c r="O20" s="18" t="s">
        <v>8</v>
      </c>
      <c r="P20" s="58" t="s">
        <v>231</v>
      </c>
    </row>
    <row r="21" spans="1:16" x14ac:dyDescent="0.3">
      <c r="A21" s="49" t="s">
        <v>243</v>
      </c>
      <c r="B21" s="22" t="s">
        <v>63</v>
      </c>
      <c r="C21" s="17">
        <v>231.4</v>
      </c>
      <c r="D21" s="17">
        <v>261.20000000000005</v>
      </c>
      <c r="E21" s="17">
        <v>280.79999999999995</v>
      </c>
      <c r="F21" s="17">
        <v>291.19999999999993</v>
      </c>
      <c r="G21" s="17">
        <v>311.10000000000002</v>
      </c>
      <c r="H21" s="17">
        <v>320</v>
      </c>
      <c r="I21" s="17">
        <v>349.5</v>
      </c>
      <c r="J21" s="17">
        <v>374.2</v>
      </c>
      <c r="K21" s="17">
        <v>400.6</v>
      </c>
      <c r="L21" s="17">
        <v>423.1</v>
      </c>
      <c r="M21" s="17">
        <v>422.5</v>
      </c>
      <c r="N21" s="17">
        <v>485</v>
      </c>
      <c r="O21" s="18" t="s">
        <v>8</v>
      </c>
      <c r="P21" s="58" t="s">
        <v>231</v>
      </c>
    </row>
    <row r="22" spans="1:16" x14ac:dyDescent="0.3">
      <c r="A22" s="62" t="s">
        <v>244</v>
      </c>
      <c r="B22" s="22" t="s">
        <v>63</v>
      </c>
      <c r="C22" s="61">
        <v>70.124136410115085</v>
      </c>
      <c r="D22" s="61">
        <v>88.669654476862888</v>
      </c>
      <c r="E22" s="61">
        <v>94.130282068511036</v>
      </c>
      <c r="F22" s="61">
        <v>95.567060527824893</v>
      </c>
      <c r="G22" s="61">
        <v>101.96221760857823</v>
      </c>
      <c r="H22" s="61">
        <v>98.908652594909881</v>
      </c>
      <c r="I22" s="61">
        <v>109.1</v>
      </c>
      <c r="J22" s="61">
        <v>120.4</v>
      </c>
      <c r="K22" s="61">
        <v>134</v>
      </c>
      <c r="L22" s="61">
        <v>141.4</v>
      </c>
      <c r="M22" s="61">
        <v>141</v>
      </c>
      <c r="N22" s="61">
        <v>162.6</v>
      </c>
      <c r="O22" s="18" t="s">
        <v>8</v>
      </c>
      <c r="P22" s="59" t="s">
        <v>231</v>
      </c>
    </row>
    <row r="23" spans="1:16" x14ac:dyDescent="0.3">
      <c r="A23" s="50" t="s">
        <v>245</v>
      </c>
      <c r="B23" s="22" t="s">
        <v>63</v>
      </c>
      <c r="C23" s="32">
        <v>1963.8000000000002</v>
      </c>
      <c r="D23" s="32">
        <v>2357.4</v>
      </c>
      <c r="E23" s="32">
        <v>2416.6999999999998</v>
      </c>
      <c r="F23" s="32">
        <v>2496.4</v>
      </c>
      <c r="G23" s="32">
        <v>2730.6</v>
      </c>
      <c r="H23" s="32">
        <v>2748.8999999999996</v>
      </c>
      <c r="I23" s="32">
        <v>2909.9</v>
      </c>
      <c r="J23" s="32">
        <v>3111.7999999999993</v>
      </c>
      <c r="K23" s="32">
        <v>3305.3999999999996</v>
      </c>
      <c r="L23" s="32">
        <v>3403.3999999999996</v>
      </c>
      <c r="M23" s="32">
        <v>3360.6</v>
      </c>
      <c r="N23" s="32">
        <v>3836.4000000000005</v>
      </c>
      <c r="O23" s="56" t="s">
        <v>8</v>
      </c>
      <c r="P23" s="60" t="s">
        <v>231</v>
      </c>
    </row>
    <row r="24" spans="1:16" x14ac:dyDescent="0.3">
      <c r="A24" s="24" t="s">
        <v>246</v>
      </c>
      <c r="B24" s="25" t="s">
        <v>103</v>
      </c>
      <c r="C24" s="87">
        <f>IFERROR((C9+C10+C11+C12+C14+C15+C16+C17+C18+C20+C21)/C23,"")</f>
        <v>0.99944714329361439</v>
      </c>
      <c r="D24" s="87">
        <f>IFERROR((D9+D10+D11+D12+D14+D15+D16+D17+D18+D20+D21)/D23,"")</f>
        <v>0.99979733464040044</v>
      </c>
      <c r="E24" s="87">
        <f t="shared" ref="E24:N24" si="0">IFERROR((E9+E10+E11+E12+E14+E15+E16+E17+E18+E20+E21)/E23,"")</f>
        <v>0.99983548726185445</v>
      </c>
      <c r="F24" s="87">
        <f t="shared" si="0"/>
        <v>1.0000403177395949</v>
      </c>
      <c r="G24" s="87">
        <f t="shared" si="0"/>
        <v>0.99985734309443208</v>
      </c>
      <c r="H24" s="87">
        <f t="shared" si="0"/>
        <v>1.0000090058732221</v>
      </c>
      <c r="I24" s="87">
        <f t="shared" si="0"/>
        <v>1.0000147427746657</v>
      </c>
      <c r="J24" s="87">
        <f t="shared" si="0"/>
        <v>0.99999415129507052</v>
      </c>
      <c r="K24" s="87">
        <f t="shared" si="0"/>
        <v>1</v>
      </c>
      <c r="L24" s="87">
        <f t="shared" si="0"/>
        <v>1</v>
      </c>
      <c r="M24" s="87">
        <f t="shared" si="0"/>
        <v>1</v>
      </c>
      <c r="N24" s="87">
        <f t="shared" si="0"/>
        <v>0.99999999999999978</v>
      </c>
      <c r="O24" s="49"/>
      <c r="P24" s="49"/>
    </row>
    <row r="25" spans="1:16" ht="15.6" x14ac:dyDescent="0.3">
      <c r="A25" s="8" t="s">
        <v>247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.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58" t="s">
        <v>248</v>
      </c>
      <c r="B27" s="22" t="s">
        <v>63</v>
      </c>
      <c r="C27" s="17">
        <v>179.41399999999999</v>
      </c>
      <c r="D27" s="17">
        <v>204.00710000000001</v>
      </c>
      <c r="E27" s="17">
        <v>203.46260000000001</v>
      </c>
      <c r="F27" s="17">
        <v>255.17310000000001</v>
      </c>
      <c r="G27" s="17">
        <v>270.6336</v>
      </c>
      <c r="H27" s="17">
        <v>247.92490000000001</v>
      </c>
      <c r="I27" s="17">
        <v>204.2063</v>
      </c>
      <c r="J27" s="17">
        <v>255.72319999999999</v>
      </c>
      <c r="K27" s="17">
        <v>244.6</v>
      </c>
      <c r="L27" s="17">
        <v>220.7</v>
      </c>
      <c r="M27" s="17">
        <v>184.2</v>
      </c>
      <c r="N27" s="17">
        <v>206.9</v>
      </c>
      <c r="O27" s="18" t="s">
        <v>8</v>
      </c>
      <c r="P27" s="60" t="s">
        <v>231</v>
      </c>
    </row>
    <row r="28" spans="1:16" x14ac:dyDescent="0.3">
      <c r="A28" s="58" t="s">
        <v>249</v>
      </c>
      <c r="B28" s="22" t="s">
        <v>63</v>
      </c>
      <c r="C28" s="17">
        <v>640.40570000000002</v>
      </c>
      <c r="D28" s="17">
        <v>640.66849999999999</v>
      </c>
      <c r="E28" s="17">
        <v>659.14509999999996</v>
      </c>
      <c r="F28" s="17">
        <v>777.72349999999994</v>
      </c>
      <c r="G28" s="17">
        <v>773.5204</v>
      </c>
      <c r="H28" s="17">
        <v>707.92650000000003</v>
      </c>
      <c r="I28" s="17">
        <v>776.06790000000001</v>
      </c>
      <c r="J28" s="17">
        <v>840.37509999999997</v>
      </c>
      <c r="K28" s="17">
        <v>930.1</v>
      </c>
      <c r="L28" s="17">
        <v>844.7</v>
      </c>
      <c r="M28" s="17">
        <v>895.50000000000011</v>
      </c>
      <c r="N28" s="17">
        <v>1213.6999999999998</v>
      </c>
      <c r="O28" s="18" t="s">
        <v>8</v>
      </c>
      <c r="P28" s="60" t="s">
        <v>231</v>
      </c>
    </row>
    <row r="29" spans="1:16" x14ac:dyDescent="0.3">
      <c r="A29" s="58" t="s">
        <v>250</v>
      </c>
      <c r="B29" s="22" t="s">
        <v>63</v>
      </c>
      <c r="C29" s="17">
        <v>750.44100000000003</v>
      </c>
      <c r="D29" s="17">
        <v>1008.7438</v>
      </c>
      <c r="E29" s="17">
        <v>1154.4078999999999</v>
      </c>
      <c r="F29" s="17">
        <v>1163.6015</v>
      </c>
      <c r="G29" s="17">
        <v>1079.0645</v>
      </c>
      <c r="H29" s="17">
        <v>1098.4851000000001</v>
      </c>
      <c r="I29" s="17">
        <v>1229.5404000000001</v>
      </c>
      <c r="J29" s="17">
        <v>1379.7158999999999</v>
      </c>
      <c r="K29" s="17">
        <v>1561.8</v>
      </c>
      <c r="L29" s="17">
        <v>1669.8</v>
      </c>
      <c r="M29" s="17">
        <v>1651.8</v>
      </c>
      <c r="N29" s="17">
        <v>1845.8</v>
      </c>
      <c r="O29" s="18" t="s">
        <v>8</v>
      </c>
      <c r="P29" s="60" t="s">
        <v>231</v>
      </c>
    </row>
    <row r="30" spans="1:16" x14ac:dyDescent="0.3">
      <c r="A30" s="49"/>
      <c r="B30" s="49"/>
      <c r="C30" s="52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3">
      <c r="A31" s="49"/>
      <c r="B31" s="49"/>
      <c r="C31" s="52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8" x14ac:dyDescent="0.35">
      <c r="A32" s="48" t="s">
        <v>251</v>
      </c>
      <c r="B32" s="4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3">
      <c r="A33" s="4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5.6" x14ac:dyDescent="0.3">
      <c r="A34" s="8" t="s">
        <v>229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5.6" x14ac:dyDescent="0.3">
      <c r="A35" s="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x14ac:dyDescent="0.3">
      <c r="A36" s="49" t="s">
        <v>230</v>
      </c>
      <c r="B36" s="22" t="s">
        <v>63</v>
      </c>
      <c r="C36" s="17">
        <v>351</v>
      </c>
      <c r="D36" s="17">
        <v>351.8</v>
      </c>
      <c r="E36" s="17">
        <v>344.4</v>
      </c>
      <c r="F36" s="17">
        <v>361.1</v>
      </c>
      <c r="G36" s="17">
        <v>388.6</v>
      </c>
      <c r="H36" s="17">
        <v>380.2</v>
      </c>
      <c r="I36" s="17">
        <v>383.9</v>
      </c>
      <c r="J36" s="17">
        <v>401.1</v>
      </c>
      <c r="K36" s="17">
        <v>410.2</v>
      </c>
      <c r="L36" s="17">
        <v>411.2</v>
      </c>
      <c r="M36" s="17">
        <v>390.8</v>
      </c>
      <c r="N36" s="17">
        <v>455</v>
      </c>
      <c r="O36" s="18" t="s">
        <v>8</v>
      </c>
      <c r="P36" s="58" t="s">
        <v>231</v>
      </c>
    </row>
    <row r="37" spans="1:16" x14ac:dyDescent="0.3">
      <c r="A37" s="49" t="s">
        <v>232</v>
      </c>
      <c r="B37" s="22" t="s">
        <v>63</v>
      </c>
      <c r="C37" s="17">
        <v>154</v>
      </c>
      <c r="D37" s="17">
        <v>162.69999999999999</v>
      </c>
      <c r="E37" s="17">
        <v>169.8</v>
      </c>
      <c r="F37" s="17">
        <v>161.9</v>
      </c>
      <c r="G37" s="17">
        <v>167</v>
      </c>
      <c r="H37" s="17">
        <v>172.8</v>
      </c>
      <c r="I37" s="17">
        <v>180.7</v>
      </c>
      <c r="J37" s="17">
        <v>190</v>
      </c>
      <c r="K37" s="17">
        <v>174.9</v>
      </c>
      <c r="L37" s="17">
        <v>164.5</v>
      </c>
      <c r="M37" s="17">
        <v>142.80000000000001</v>
      </c>
      <c r="N37" s="17">
        <v>148.30000000000001</v>
      </c>
      <c r="O37" s="18" t="s">
        <v>8</v>
      </c>
      <c r="P37" s="58" t="s">
        <v>231</v>
      </c>
    </row>
    <row r="38" spans="1:16" x14ac:dyDescent="0.3">
      <c r="A38" s="49" t="s">
        <v>233</v>
      </c>
      <c r="B38" s="22" t="s">
        <v>63</v>
      </c>
      <c r="C38" s="17">
        <v>318.10000000000002</v>
      </c>
      <c r="D38" s="17">
        <v>368.6</v>
      </c>
      <c r="E38" s="17">
        <v>370.8</v>
      </c>
      <c r="F38" s="17">
        <v>382.8</v>
      </c>
      <c r="G38" s="17">
        <v>438.6</v>
      </c>
      <c r="H38" s="17">
        <v>481.2</v>
      </c>
      <c r="I38" s="17">
        <v>495.6</v>
      </c>
      <c r="J38" s="17">
        <v>527.4</v>
      </c>
      <c r="K38" s="17">
        <v>552.29999999999995</v>
      </c>
      <c r="L38" s="17">
        <v>566.9</v>
      </c>
      <c r="M38" s="17">
        <v>513.1</v>
      </c>
      <c r="N38" s="17">
        <v>521.6</v>
      </c>
      <c r="O38" s="18" t="s">
        <v>8</v>
      </c>
      <c r="P38" s="58" t="s">
        <v>231</v>
      </c>
    </row>
    <row r="39" spans="1:16" x14ac:dyDescent="0.3">
      <c r="A39" s="49" t="s">
        <v>234</v>
      </c>
      <c r="B39" s="22" t="s">
        <v>63</v>
      </c>
      <c r="C39" s="17">
        <v>123.9</v>
      </c>
      <c r="D39" s="17">
        <v>122</v>
      </c>
      <c r="E39" s="17">
        <v>135.6</v>
      </c>
      <c r="F39" s="17">
        <v>135.4</v>
      </c>
      <c r="G39" s="17">
        <v>136.19999999999999</v>
      </c>
      <c r="H39" s="17">
        <v>133.69999999999999</v>
      </c>
      <c r="I39" s="17">
        <v>142.30000000000001</v>
      </c>
      <c r="J39" s="17">
        <v>148</v>
      </c>
      <c r="K39" s="17">
        <v>142.6</v>
      </c>
      <c r="L39" s="17">
        <v>138.6</v>
      </c>
      <c r="M39" s="17">
        <v>138</v>
      </c>
      <c r="N39" s="17">
        <v>144.80000000000001</v>
      </c>
      <c r="O39" s="18" t="s">
        <v>8</v>
      </c>
      <c r="P39" s="58" t="s">
        <v>231</v>
      </c>
    </row>
    <row r="40" spans="1:16" x14ac:dyDescent="0.3">
      <c r="A40" s="64" t="s">
        <v>235</v>
      </c>
      <c r="B40" s="22" t="s">
        <v>63</v>
      </c>
      <c r="C40" s="17">
        <v>60.2</v>
      </c>
      <c r="D40" s="17">
        <v>54.8</v>
      </c>
      <c r="E40" s="17">
        <v>56</v>
      </c>
      <c r="F40" s="17">
        <v>58.2</v>
      </c>
      <c r="G40" s="17">
        <v>60.1</v>
      </c>
      <c r="H40" s="17">
        <v>56.5</v>
      </c>
      <c r="I40" s="17">
        <v>58.2</v>
      </c>
      <c r="J40" s="17">
        <v>60.7</v>
      </c>
      <c r="K40" s="17">
        <v>55.5</v>
      </c>
      <c r="L40" s="17">
        <v>50.8</v>
      </c>
      <c r="M40" s="17">
        <v>57.2</v>
      </c>
      <c r="N40" s="17">
        <v>56.4</v>
      </c>
      <c r="O40" s="18" t="s">
        <v>8</v>
      </c>
      <c r="P40" s="59" t="s">
        <v>231</v>
      </c>
    </row>
    <row r="41" spans="1:16" x14ac:dyDescent="0.3">
      <c r="A41" s="49" t="s">
        <v>236</v>
      </c>
      <c r="B41" s="22" t="s">
        <v>63</v>
      </c>
      <c r="C41" s="17">
        <v>62.1</v>
      </c>
      <c r="D41" s="17">
        <v>67.099999999999994</v>
      </c>
      <c r="E41" s="17">
        <v>72.099999999999994</v>
      </c>
      <c r="F41" s="17">
        <v>76.400000000000006</v>
      </c>
      <c r="G41" s="17">
        <v>84.3</v>
      </c>
      <c r="H41" s="17">
        <v>90.7</v>
      </c>
      <c r="I41" s="17">
        <v>78.8</v>
      </c>
      <c r="J41" s="17">
        <v>34.799999999999997</v>
      </c>
      <c r="K41" s="17">
        <v>33.1</v>
      </c>
      <c r="L41" s="17">
        <v>43.6</v>
      </c>
      <c r="M41" s="17">
        <v>44.5</v>
      </c>
      <c r="N41" s="17">
        <v>34.799999999999997</v>
      </c>
      <c r="O41" s="18" t="s">
        <v>8</v>
      </c>
      <c r="P41" s="58" t="s">
        <v>231</v>
      </c>
    </row>
    <row r="42" spans="1:16" x14ac:dyDescent="0.3">
      <c r="A42" s="49" t="s">
        <v>237</v>
      </c>
      <c r="B42" s="22" t="s">
        <v>63</v>
      </c>
      <c r="C42" s="17">
        <v>140.80000000000001</v>
      </c>
      <c r="D42" s="17">
        <v>142.80000000000001</v>
      </c>
      <c r="E42" s="17">
        <v>108.19999999999999</v>
      </c>
      <c r="F42" s="17">
        <v>118.2</v>
      </c>
      <c r="G42" s="17">
        <v>115.6</v>
      </c>
      <c r="H42" s="17">
        <v>117.1</v>
      </c>
      <c r="I42" s="17">
        <v>124.3</v>
      </c>
      <c r="J42" s="17">
        <v>121.80000000000001</v>
      </c>
      <c r="K42" s="17">
        <v>136</v>
      </c>
      <c r="L42" s="17">
        <v>113.3</v>
      </c>
      <c r="M42" s="17">
        <v>115.39999999999999</v>
      </c>
      <c r="N42" s="17">
        <v>127.7</v>
      </c>
      <c r="O42" s="18" t="s">
        <v>8</v>
      </c>
      <c r="P42" s="58" t="s">
        <v>231</v>
      </c>
    </row>
    <row r="43" spans="1:16" x14ac:dyDescent="0.3">
      <c r="A43" s="49" t="s">
        <v>238</v>
      </c>
      <c r="B43" s="22" t="s">
        <v>63</v>
      </c>
      <c r="C43" s="17">
        <v>110.4</v>
      </c>
      <c r="D43" s="17">
        <v>124.4</v>
      </c>
      <c r="E43" s="17">
        <v>127.5</v>
      </c>
      <c r="F43" s="17">
        <v>127.9</v>
      </c>
      <c r="G43" s="17">
        <v>135.5</v>
      </c>
      <c r="H43" s="17">
        <v>141</v>
      </c>
      <c r="I43" s="17">
        <v>160.19999999999999</v>
      </c>
      <c r="J43" s="17">
        <v>185.4</v>
      </c>
      <c r="K43" s="17">
        <v>179.6</v>
      </c>
      <c r="L43" s="17">
        <v>170.3</v>
      </c>
      <c r="M43" s="17">
        <v>156</v>
      </c>
      <c r="N43" s="17">
        <v>173</v>
      </c>
      <c r="O43" s="18" t="s">
        <v>8</v>
      </c>
      <c r="P43" s="58" t="s">
        <v>231</v>
      </c>
    </row>
    <row r="44" spans="1:16" x14ac:dyDescent="0.3">
      <c r="A44" s="49" t="s">
        <v>239</v>
      </c>
      <c r="B44" s="22" t="s">
        <v>63</v>
      </c>
      <c r="C44" s="17">
        <v>11.2</v>
      </c>
      <c r="D44" s="17">
        <v>10.199999999999999</v>
      </c>
      <c r="E44" s="17">
        <v>8.1999999999999993</v>
      </c>
      <c r="F44" s="17">
        <v>10.3</v>
      </c>
      <c r="G44" s="17">
        <v>13.3</v>
      </c>
      <c r="H44" s="17">
        <v>12</v>
      </c>
      <c r="I44" s="17">
        <v>14.5</v>
      </c>
      <c r="J44" s="17">
        <v>24</v>
      </c>
      <c r="K44" s="17">
        <v>25.4</v>
      </c>
      <c r="L44" s="17">
        <v>31</v>
      </c>
      <c r="M44" s="17">
        <v>36.700000000000003</v>
      </c>
      <c r="N44" s="17">
        <v>43.5</v>
      </c>
      <c r="O44" s="18" t="s">
        <v>8</v>
      </c>
      <c r="P44" s="58" t="s">
        <v>231</v>
      </c>
    </row>
    <row r="45" spans="1:16" x14ac:dyDescent="0.3">
      <c r="A45" s="49" t="s">
        <v>240</v>
      </c>
      <c r="B45" s="22" t="s">
        <v>63</v>
      </c>
      <c r="C45" s="17">
        <v>540.69999999999993</v>
      </c>
      <c r="D45" s="17">
        <v>699.30000000000007</v>
      </c>
      <c r="E45" s="17">
        <v>719.4</v>
      </c>
      <c r="F45" s="17">
        <v>747.1</v>
      </c>
      <c r="G45" s="17">
        <v>773.99999999999989</v>
      </c>
      <c r="H45" s="17">
        <v>778</v>
      </c>
      <c r="I45" s="17">
        <v>823.1</v>
      </c>
      <c r="J45" s="17">
        <v>865</v>
      </c>
      <c r="K45" s="17">
        <v>917.3</v>
      </c>
      <c r="L45" s="17">
        <v>939.19999999999993</v>
      </c>
      <c r="M45" s="17">
        <v>894.5</v>
      </c>
      <c r="N45" s="17">
        <v>982.59999999999991</v>
      </c>
      <c r="O45" s="18" t="s">
        <v>8</v>
      </c>
      <c r="P45" s="58" t="s">
        <v>231</v>
      </c>
    </row>
    <row r="46" spans="1:16" x14ac:dyDescent="0.3">
      <c r="A46" s="64" t="s">
        <v>241</v>
      </c>
      <c r="B46" s="22" t="s">
        <v>63</v>
      </c>
      <c r="C46" s="17">
        <v>262</v>
      </c>
      <c r="D46" s="17">
        <v>292.10000000000002</v>
      </c>
      <c r="E46" s="17">
        <v>307.89999999999998</v>
      </c>
      <c r="F46" s="17">
        <v>321</v>
      </c>
      <c r="G46" s="17">
        <v>330.2</v>
      </c>
      <c r="H46" s="17">
        <v>334.5</v>
      </c>
      <c r="I46" s="17">
        <v>350.5</v>
      </c>
      <c r="J46" s="17">
        <v>397.2</v>
      </c>
      <c r="K46" s="17">
        <v>426.5</v>
      </c>
      <c r="L46" s="17">
        <v>468.5</v>
      </c>
      <c r="M46" s="17">
        <v>422.6</v>
      </c>
      <c r="N46" s="17">
        <v>484.4</v>
      </c>
      <c r="O46" s="18" t="s">
        <v>8</v>
      </c>
      <c r="P46" s="59" t="s">
        <v>231</v>
      </c>
    </row>
    <row r="47" spans="1:16" x14ac:dyDescent="0.3">
      <c r="A47" s="49" t="s">
        <v>242</v>
      </c>
      <c r="B47" s="22" t="s">
        <v>63</v>
      </c>
      <c r="C47" s="17">
        <v>89.699999999999989</v>
      </c>
      <c r="D47" s="17">
        <v>102.5</v>
      </c>
      <c r="E47" s="17">
        <v>108.5</v>
      </c>
      <c r="F47" s="17">
        <v>112.19999999999999</v>
      </c>
      <c r="G47" s="17">
        <v>110.4</v>
      </c>
      <c r="H47" s="17">
        <v>122.2</v>
      </c>
      <c r="I47" s="17">
        <v>124.80000000000001</v>
      </c>
      <c r="J47" s="17">
        <v>124</v>
      </c>
      <c r="K47" s="17">
        <v>137.69999999999999</v>
      </c>
      <c r="L47" s="17">
        <v>124.2</v>
      </c>
      <c r="M47" s="17">
        <v>123.80000000000001</v>
      </c>
      <c r="N47" s="17">
        <v>120.9</v>
      </c>
      <c r="O47" s="18" t="s">
        <v>8</v>
      </c>
      <c r="P47" s="58" t="s">
        <v>231</v>
      </c>
    </row>
    <row r="48" spans="1:16" x14ac:dyDescent="0.3">
      <c r="A48" s="49" t="s">
        <v>243</v>
      </c>
      <c r="B48" s="22" t="s">
        <v>63</v>
      </c>
      <c r="C48" s="17">
        <v>351.90000000000003</v>
      </c>
      <c r="D48" s="17">
        <v>401.5</v>
      </c>
      <c r="E48" s="17">
        <v>422.4</v>
      </c>
      <c r="F48" s="17">
        <v>430.8</v>
      </c>
      <c r="G48" s="17">
        <v>444</v>
      </c>
      <c r="H48" s="17">
        <v>440.1</v>
      </c>
      <c r="I48" s="17">
        <v>463.1</v>
      </c>
      <c r="J48" s="17">
        <v>488.1</v>
      </c>
      <c r="K48" s="17">
        <v>553.6</v>
      </c>
      <c r="L48" s="17">
        <v>606.70000000000005</v>
      </c>
      <c r="M48" s="17">
        <v>514.69999999999993</v>
      </c>
      <c r="N48" s="17">
        <v>566.70000000000005</v>
      </c>
      <c r="O48" s="18" t="s">
        <v>8</v>
      </c>
      <c r="P48" s="58" t="s">
        <v>231</v>
      </c>
    </row>
    <row r="49" spans="1:16" x14ac:dyDescent="0.3">
      <c r="A49" s="64" t="s">
        <v>244</v>
      </c>
      <c r="B49" s="22" t="s">
        <v>63</v>
      </c>
      <c r="C49" s="17">
        <v>94.8</v>
      </c>
      <c r="D49" s="17">
        <v>110.4</v>
      </c>
      <c r="E49" s="17">
        <v>111.2</v>
      </c>
      <c r="F49" s="17">
        <v>106.5</v>
      </c>
      <c r="G49" s="17">
        <v>113.7</v>
      </c>
      <c r="H49" s="17">
        <v>98.9</v>
      </c>
      <c r="I49" s="17">
        <v>104.6</v>
      </c>
      <c r="J49" s="17">
        <v>113.4</v>
      </c>
      <c r="K49" s="17">
        <v>128.1</v>
      </c>
      <c r="L49" s="17">
        <v>132.80000000000001</v>
      </c>
      <c r="M49" s="17">
        <v>119.3</v>
      </c>
      <c r="N49" s="17">
        <v>124.5</v>
      </c>
      <c r="O49" s="18" t="s">
        <v>8</v>
      </c>
      <c r="P49" s="59" t="s">
        <v>231</v>
      </c>
    </row>
    <row r="50" spans="1:16" x14ac:dyDescent="0.3">
      <c r="A50" s="50" t="s">
        <v>245</v>
      </c>
      <c r="B50" s="22" t="s">
        <v>63</v>
      </c>
      <c r="C50" s="209">
        <v>2251.9</v>
      </c>
      <c r="D50" s="209">
        <v>2552.9</v>
      </c>
      <c r="E50" s="209">
        <v>2586.9</v>
      </c>
      <c r="F50" s="209">
        <v>2664.1000000000004</v>
      </c>
      <c r="G50" s="209">
        <v>2807.5</v>
      </c>
      <c r="H50" s="209">
        <v>2868.9999999999995</v>
      </c>
      <c r="I50" s="209">
        <v>2991.3</v>
      </c>
      <c r="J50" s="209">
        <v>3109.6</v>
      </c>
      <c r="K50" s="209">
        <v>3262.6999999999994</v>
      </c>
      <c r="L50" s="209">
        <v>3309.4999999999991</v>
      </c>
      <c r="M50" s="209">
        <v>3070.3</v>
      </c>
      <c r="N50" s="209">
        <v>3318.8999999999996</v>
      </c>
      <c r="O50" s="56" t="s">
        <v>8</v>
      </c>
      <c r="P50" s="60" t="s">
        <v>231</v>
      </c>
    </row>
    <row r="51" spans="1:16" ht="15.6" x14ac:dyDescent="0.3">
      <c r="A51" s="24" t="s">
        <v>252</v>
      </c>
      <c r="B51" s="25" t="s">
        <v>103</v>
      </c>
      <c r="C51" s="87">
        <f>IFERROR((C36+C37+C38+C39+C41+C42+C43+C44+C45+C47+C48)/C50,"")</f>
        <v>1.0008437319596786</v>
      </c>
      <c r="D51" s="87">
        <f t="shared" ref="D51:O51" si="1">IFERROR((D36+D37+D38+D39+D41+D42+D43+D44+D45+D47+D48)/D50,"")</f>
        <v>1</v>
      </c>
      <c r="E51" s="87">
        <f t="shared" si="1"/>
        <v>1</v>
      </c>
      <c r="F51" s="87">
        <f t="shared" si="1"/>
        <v>1</v>
      </c>
      <c r="G51" s="87">
        <f t="shared" si="1"/>
        <v>1</v>
      </c>
      <c r="H51" s="87">
        <f t="shared" si="1"/>
        <v>1</v>
      </c>
      <c r="I51" s="87">
        <f t="shared" si="1"/>
        <v>0.99999999999999989</v>
      </c>
      <c r="J51" s="87">
        <f t="shared" si="1"/>
        <v>1</v>
      </c>
      <c r="K51" s="87">
        <f t="shared" si="1"/>
        <v>1</v>
      </c>
      <c r="L51" s="87">
        <f t="shared" si="1"/>
        <v>1</v>
      </c>
      <c r="M51" s="87">
        <f t="shared" si="1"/>
        <v>1</v>
      </c>
      <c r="N51" s="87">
        <f t="shared" si="1"/>
        <v>1.0000000000000002</v>
      </c>
      <c r="O51" s="49" t="str">
        <f t="shared" si="1"/>
        <v/>
      </c>
      <c r="P51" s="8"/>
    </row>
    <row r="52" spans="1:16" ht="15.6" x14ac:dyDescent="0.3">
      <c r="A52" s="4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6" x14ac:dyDescent="0.3">
      <c r="A53" s="8" t="s">
        <v>247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3">
      <c r="A55" s="49" t="s">
        <v>248</v>
      </c>
      <c r="B55" s="63" t="s">
        <v>63</v>
      </c>
      <c r="C55" s="17">
        <v>229.71260000000001</v>
      </c>
      <c r="D55" s="17">
        <v>255.3715</v>
      </c>
      <c r="E55" s="17">
        <v>256.27960000000002</v>
      </c>
      <c r="F55" s="17">
        <v>256.01679999999999</v>
      </c>
      <c r="G55" s="17">
        <v>265.12880000000001</v>
      </c>
      <c r="H55" s="17">
        <v>247.92490000000001</v>
      </c>
      <c r="I55" s="17">
        <v>238.03380000000001</v>
      </c>
      <c r="J55" s="17">
        <v>303.55630000000002</v>
      </c>
      <c r="K55" s="17">
        <v>334.23059999999998</v>
      </c>
      <c r="L55" s="17">
        <v>298.47620000000001</v>
      </c>
      <c r="M55" s="17">
        <v>256.84350000000001</v>
      </c>
      <c r="N55" s="17">
        <v>281.3</v>
      </c>
      <c r="O55" s="18" t="s">
        <v>8</v>
      </c>
      <c r="P55" s="58" t="s">
        <v>231</v>
      </c>
    </row>
    <row r="56" spans="1:16" x14ac:dyDescent="0.3">
      <c r="A56" s="49" t="s">
        <v>253</v>
      </c>
      <c r="B56" s="63" t="s">
        <v>63</v>
      </c>
      <c r="C56" s="17">
        <v>655.37750000000005</v>
      </c>
      <c r="D56" s="17">
        <v>658.17949999999996</v>
      </c>
      <c r="E56" s="17">
        <v>654.74199999999996</v>
      </c>
      <c r="F56" s="17">
        <v>707.93029999999999</v>
      </c>
      <c r="G56" s="17">
        <v>748.64009999999996</v>
      </c>
      <c r="H56" s="17">
        <v>707.92650000000003</v>
      </c>
      <c r="I56" s="17">
        <v>768.06280000000004</v>
      </c>
      <c r="J56" s="17">
        <v>802.63200000000006</v>
      </c>
      <c r="K56" s="17">
        <v>800.52800000000002</v>
      </c>
      <c r="L56" s="17">
        <v>667.29719999999998</v>
      </c>
      <c r="M56" s="17">
        <v>696</v>
      </c>
      <c r="N56" s="17">
        <v>751.9</v>
      </c>
      <c r="O56" s="18" t="s">
        <v>8</v>
      </c>
      <c r="P56" s="58" t="s">
        <v>231</v>
      </c>
    </row>
    <row r="57" spans="1:16" x14ac:dyDescent="0.3">
      <c r="A57" s="49" t="s">
        <v>250</v>
      </c>
      <c r="B57" s="63" t="s">
        <v>63</v>
      </c>
      <c r="C57" s="17">
        <v>867.71349999999995</v>
      </c>
      <c r="D57" s="17">
        <v>1119.5725</v>
      </c>
      <c r="E57" s="17">
        <v>1214.8755000000001</v>
      </c>
      <c r="F57" s="17">
        <v>1165.1252999999999</v>
      </c>
      <c r="G57" s="17">
        <v>1094.4536000000001</v>
      </c>
      <c r="H57" s="17">
        <v>1098.4851000000001</v>
      </c>
      <c r="I57" s="17">
        <v>1229.943</v>
      </c>
      <c r="J57" s="17">
        <v>1348.3996</v>
      </c>
      <c r="K57" s="17">
        <v>1489.8443</v>
      </c>
      <c r="L57" s="17">
        <v>1461.4775999999999</v>
      </c>
      <c r="M57" s="17">
        <v>1513.2844</v>
      </c>
      <c r="N57" s="17">
        <v>1616.3</v>
      </c>
      <c r="O57" s="18" t="s">
        <v>8</v>
      </c>
      <c r="P57" s="58" t="s">
        <v>231</v>
      </c>
    </row>
    <row r="58" spans="1:16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8" x14ac:dyDescent="0.35">
      <c r="A61" s="48" t="s">
        <v>254</v>
      </c>
      <c r="B61" s="48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15.6" x14ac:dyDescent="0.3">
      <c r="A63" s="8" t="s">
        <v>255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5.6" x14ac:dyDescent="0.3">
      <c r="A64" s="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x14ac:dyDescent="0.3">
      <c r="A65" s="49" t="s">
        <v>256</v>
      </c>
      <c r="B65" s="22" t="s">
        <v>257</v>
      </c>
      <c r="C65" s="17">
        <v>92.31414194200633</v>
      </c>
      <c r="D65" s="17">
        <v>92.523860258273857</v>
      </c>
      <c r="E65" s="17">
        <v>90.572354265626899</v>
      </c>
      <c r="F65" s="17">
        <v>94.960816549599784</v>
      </c>
      <c r="G65" s="17">
        <v>102.1939681393325</v>
      </c>
      <c r="H65" s="17">
        <v>100</v>
      </c>
      <c r="I65" s="17">
        <v>100.95383172511593</v>
      </c>
      <c r="J65" s="17">
        <v>105.5</v>
      </c>
      <c r="K65" s="17">
        <v>107.9</v>
      </c>
      <c r="L65" s="17">
        <v>108.2</v>
      </c>
      <c r="M65" s="17">
        <v>102.8</v>
      </c>
      <c r="N65" s="17">
        <v>119.7</v>
      </c>
      <c r="O65" s="18" t="s">
        <v>8</v>
      </c>
      <c r="P65" s="58" t="s">
        <v>258</v>
      </c>
    </row>
    <row r="66" spans="1:16" x14ac:dyDescent="0.3">
      <c r="A66" s="49" t="s">
        <v>259</v>
      </c>
      <c r="B66" s="22" t="s">
        <v>257</v>
      </c>
      <c r="C66" s="17">
        <v>89.141607524370329</v>
      </c>
      <c r="D66" s="17">
        <v>94.163334033721668</v>
      </c>
      <c r="E66" s="17">
        <v>98.286074485431627</v>
      </c>
      <c r="F66" s="17">
        <v>93.715722213250302</v>
      </c>
      <c r="G66" s="17">
        <v>96.644213721475793</v>
      </c>
      <c r="H66" s="17">
        <v>100</v>
      </c>
      <c r="I66" s="17">
        <v>104.60907622251047</v>
      </c>
      <c r="J66" s="17">
        <v>109.97983923482862</v>
      </c>
      <c r="K66" s="17">
        <v>101.2</v>
      </c>
      <c r="L66" s="17">
        <v>95.2</v>
      </c>
      <c r="M66" s="17">
        <v>82.6</v>
      </c>
      <c r="N66" s="17">
        <v>85.8</v>
      </c>
      <c r="O66" s="18" t="s">
        <v>8</v>
      </c>
      <c r="P66" s="58" t="s">
        <v>258</v>
      </c>
    </row>
    <row r="67" spans="1:16" x14ac:dyDescent="0.3">
      <c r="A67" s="49" t="s">
        <v>260</v>
      </c>
      <c r="B67" s="22" t="s">
        <v>257</v>
      </c>
      <c r="C67" s="17">
        <v>66.111864474663435</v>
      </c>
      <c r="D67" s="17">
        <v>76.606713348675257</v>
      </c>
      <c r="E67" s="17">
        <v>77.048909979541278</v>
      </c>
      <c r="F67" s="17">
        <v>79.552295111604337</v>
      </c>
      <c r="G67" s="17">
        <v>91.146420111934859</v>
      </c>
      <c r="H67" s="17">
        <v>100</v>
      </c>
      <c r="I67" s="17">
        <v>103.0712157035836</v>
      </c>
      <c r="J67" s="17">
        <v>109.6</v>
      </c>
      <c r="K67" s="17">
        <v>114.8</v>
      </c>
      <c r="L67" s="17">
        <v>117.8</v>
      </c>
      <c r="M67" s="17">
        <v>106.6</v>
      </c>
      <c r="N67" s="17">
        <v>108.4</v>
      </c>
      <c r="O67" s="18" t="s">
        <v>8</v>
      </c>
      <c r="P67" s="58" t="s">
        <v>258</v>
      </c>
    </row>
    <row r="68" spans="1:16" x14ac:dyDescent="0.3">
      <c r="A68" s="49" t="s">
        <v>261</v>
      </c>
      <c r="B68" s="22" t="s">
        <v>257</v>
      </c>
      <c r="C68" s="17">
        <v>96.085721840296145</v>
      </c>
      <c r="D68" s="17">
        <v>92.260978260869564</v>
      </c>
      <c r="E68" s="17">
        <v>101.03960396039605</v>
      </c>
      <c r="F68" s="17">
        <v>101.42218934911243</v>
      </c>
      <c r="G68" s="17">
        <v>102.59468033186921</v>
      </c>
      <c r="H68" s="17">
        <v>100</v>
      </c>
      <c r="I68" s="17">
        <v>106.03213780084945</v>
      </c>
      <c r="J68" s="17">
        <v>110.25</v>
      </c>
      <c r="K68" s="17">
        <v>105.5</v>
      </c>
      <c r="L68" s="17">
        <v>103.09242871189775</v>
      </c>
      <c r="M68" s="17">
        <v>102.92808551992225</v>
      </c>
      <c r="N68" s="17">
        <v>107.65417638824077</v>
      </c>
      <c r="O68" s="18" t="s">
        <v>8</v>
      </c>
      <c r="P68" s="58" t="s">
        <v>258</v>
      </c>
    </row>
    <row r="69" spans="1:16" x14ac:dyDescent="0.3">
      <c r="A69" s="64" t="s">
        <v>262</v>
      </c>
      <c r="B69" s="22" t="s">
        <v>257</v>
      </c>
      <c r="C69" s="17">
        <v>106.57020400498449</v>
      </c>
      <c r="D69" s="17">
        <v>96.902666208151672</v>
      </c>
      <c r="E69" s="17">
        <v>98.978867415552543</v>
      </c>
      <c r="F69" s="17">
        <v>102.91841071945737</v>
      </c>
      <c r="G69" s="17">
        <v>106.30908601514145</v>
      </c>
      <c r="H69" s="17">
        <v>100</v>
      </c>
      <c r="I69" s="17">
        <v>103</v>
      </c>
      <c r="J69" s="17">
        <v>107.4</v>
      </c>
      <c r="K69" s="17">
        <v>98.2</v>
      </c>
      <c r="L69" s="17">
        <v>89.8</v>
      </c>
      <c r="M69" s="17">
        <v>101.2</v>
      </c>
      <c r="N69" s="17">
        <v>99.8</v>
      </c>
      <c r="O69" s="18" t="s">
        <v>8</v>
      </c>
      <c r="P69" s="59" t="s">
        <v>258</v>
      </c>
    </row>
    <row r="70" spans="1:16" x14ac:dyDescent="0.3">
      <c r="A70" s="49" t="s">
        <v>263</v>
      </c>
      <c r="B70" s="22" t="s">
        <v>257</v>
      </c>
      <c r="C70" s="17">
        <v>128.34847298355524</v>
      </c>
      <c r="D70" s="17">
        <v>131.57597551644989</v>
      </c>
      <c r="E70" s="17">
        <v>117.82784697508896</v>
      </c>
      <c r="F70" s="17">
        <v>116.2106625713032</v>
      </c>
      <c r="G70" s="17">
        <v>102.97892944038929</v>
      </c>
      <c r="H70" s="17">
        <v>100</v>
      </c>
      <c r="I70" s="17">
        <v>107.57531380753139</v>
      </c>
      <c r="J70" s="17">
        <v>98.531955079122</v>
      </c>
      <c r="K70" s="17">
        <v>104.46227722772277</v>
      </c>
      <c r="L70" s="17">
        <v>88.939588100686493</v>
      </c>
      <c r="M70" s="17">
        <v>97.663543266769082</v>
      </c>
      <c r="N70" s="17">
        <v>105.85903500473034</v>
      </c>
      <c r="O70" s="18" t="s">
        <v>8</v>
      </c>
      <c r="P70" s="58" t="s">
        <v>258</v>
      </c>
    </row>
    <row r="71" spans="1:16" x14ac:dyDescent="0.3">
      <c r="A71" s="49" t="s">
        <v>264</v>
      </c>
      <c r="B71" s="22" t="s">
        <v>257</v>
      </c>
      <c r="C71" s="17">
        <v>78.3</v>
      </c>
      <c r="D71" s="17">
        <v>88.3</v>
      </c>
      <c r="E71" s="17">
        <v>90.5</v>
      </c>
      <c r="F71" s="17">
        <v>90.8</v>
      </c>
      <c r="G71" s="17">
        <v>96.1</v>
      </c>
      <c r="H71" s="17">
        <v>100</v>
      </c>
      <c r="I71" s="17">
        <v>113.7</v>
      </c>
      <c r="J71" s="17">
        <v>131.5</v>
      </c>
      <c r="K71" s="17">
        <v>127.4</v>
      </c>
      <c r="L71" s="17">
        <v>120.8</v>
      </c>
      <c r="M71" s="17">
        <v>110.7</v>
      </c>
      <c r="N71" s="17">
        <v>122.7</v>
      </c>
      <c r="O71" s="18" t="s">
        <v>8</v>
      </c>
      <c r="P71" s="58" t="s">
        <v>258</v>
      </c>
    </row>
    <row r="72" spans="1:16" x14ac:dyDescent="0.3">
      <c r="A72" s="49" t="s">
        <v>265</v>
      </c>
      <c r="B72" s="22" t="s">
        <v>257</v>
      </c>
      <c r="C72" s="17">
        <v>93.3</v>
      </c>
      <c r="D72" s="17">
        <v>85.2</v>
      </c>
      <c r="E72" s="17">
        <v>68.099999999999994</v>
      </c>
      <c r="F72" s="17">
        <v>85.7</v>
      </c>
      <c r="G72" s="17">
        <v>111</v>
      </c>
      <c r="H72" s="17">
        <v>100</v>
      </c>
      <c r="I72" s="17">
        <v>120.6</v>
      </c>
      <c r="J72" s="17">
        <v>199.7</v>
      </c>
      <c r="K72" s="17">
        <v>211</v>
      </c>
      <c r="L72" s="17">
        <v>257.89999999999998</v>
      </c>
      <c r="M72" s="17">
        <v>305.2</v>
      </c>
      <c r="N72" s="17">
        <v>361.7</v>
      </c>
      <c r="O72" s="18" t="s">
        <v>8</v>
      </c>
      <c r="P72" s="58" t="s">
        <v>258</v>
      </c>
    </row>
    <row r="73" spans="1:16" x14ac:dyDescent="0.3">
      <c r="A73" s="49" t="s">
        <v>266</v>
      </c>
      <c r="B73" s="22" t="s">
        <v>257</v>
      </c>
      <c r="C73" s="17">
        <v>90.541102123356922</v>
      </c>
      <c r="D73" s="17">
        <v>119.71940298507462</v>
      </c>
      <c r="E73" s="17">
        <v>126.05607168983177</v>
      </c>
      <c r="F73" s="17">
        <v>130.26748509294984</v>
      </c>
      <c r="G73" s="17">
        <v>133.30991983967934</v>
      </c>
      <c r="H73" s="17">
        <v>133.33333333333334</v>
      </c>
      <c r="I73" s="17">
        <v>148.68737190082646</v>
      </c>
      <c r="J73" s="17">
        <v>161.23910614525138</v>
      </c>
      <c r="K73" s="17">
        <v>163.82884673291179</v>
      </c>
      <c r="L73" s="17">
        <v>161.89397944199709</v>
      </c>
      <c r="M73" s="17">
        <v>156.66734059097976</v>
      </c>
      <c r="N73" s="17">
        <v>190.87233283803863</v>
      </c>
      <c r="O73" s="18" t="s">
        <v>8</v>
      </c>
      <c r="P73" s="58" t="s">
        <v>258</v>
      </c>
    </row>
    <row r="74" spans="1:16" x14ac:dyDescent="0.3">
      <c r="A74" s="64" t="s">
        <v>267</v>
      </c>
      <c r="B74" s="22" t="s">
        <v>257</v>
      </c>
      <c r="C74" s="17">
        <v>78.3</v>
      </c>
      <c r="D74" s="17">
        <v>87.3</v>
      </c>
      <c r="E74" s="17">
        <v>92</v>
      </c>
      <c r="F74" s="17">
        <v>96</v>
      </c>
      <c r="G74" s="17">
        <v>98.7</v>
      </c>
      <c r="H74" s="17">
        <v>100</v>
      </c>
      <c r="I74" s="17">
        <v>104.8</v>
      </c>
      <c r="J74" s="17">
        <v>118.7</v>
      </c>
      <c r="K74" s="17">
        <v>127.5</v>
      </c>
      <c r="L74" s="17">
        <v>140.1</v>
      </c>
      <c r="M74" s="17">
        <v>126.3</v>
      </c>
      <c r="N74" s="17">
        <v>144.80000000000001</v>
      </c>
      <c r="O74" s="18" t="s">
        <v>8</v>
      </c>
      <c r="P74" s="59" t="s">
        <v>258</v>
      </c>
    </row>
    <row r="75" spans="1:16" x14ac:dyDescent="0.3">
      <c r="A75" s="49" t="s">
        <v>268</v>
      </c>
      <c r="B75" s="22" t="s">
        <v>257</v>
      </c>
      <c r="C75" s="17">
        <v>82.269478908188589</v>
      </c>
      <c r="D75" s="17">
        <v>88.75555555555556</v>
      </c>
      <c r="E75" s="17">
        <v>90.580552486187855</v>
      </c>
      <c r="F75" s="17">
        <v>94.63234515616729</v>
      </c>
      <c r="G75" s="17">
        <v>93.955632674853177</v>
      </c>
      <c r="H75" s="17">
        <v>100</v>
      </c>
      <c r="I75" s="17">
        <v>104.82259913999044</v>
      </c>
      <c r="J75" s="17">
        <v>103.21808046534173</v>
      </c>
      <c r="K75" s="17">
        <v>117.47462622810767</v>
      </c>
      <c r="L75" s="17">
        <v>112.16443135478025</v>
      </c>
      <c r="M75" s="17">
        <v>115.28256227758007</v>
      </c>
      <c r="N75" s="17">
        <v>102.11678115799803</v>
      </c>
      <c r="O75" s="18" t="s">
        <v>8</v>
      </c>
      <c r="P75" s="58" t="s">
        <v>258</v>
      </c>
    </row>
    <row r="76" spans="1:16" x14ac:dyDescent="0.3">
      <c r="A76" s="49" t="s">
        <v>269</v>
      </c>
      <c r="B76" s="22" t="s">
        <v>257</v>
      </c>
      <c r="C76" s="17">
        <v>83.168934426229512</v>
      </c>
      <c r="D76" s="17">
        <v>95.480707395498385</v>
      </c>
      <c r="E76" s="17">
        <v>99.050528829750945</v>
      </c>
      <c r="F76" s="17">
        <v>99.346257585974371</v>
      </c>
      <c r="G76" s="17">
        <v>103.43924050632911</v>
      </c>
      <c r="H76" s="17">
        <v>100</v>
      </c>
      <c r="I76" s="17">
        <v>104.96916719643991</v>
      </c>
      <c r="J76" s="17">
        <v>111.65758661887693</v>
      </c>
      <c r="K76" s="17">
        <v>129.74046814044215</v>
      </c>
      <c r="L76" s="17">
        <v>142.30825381679392</v>
      </c>
      <c r="M76" s="17">
        <v>117.80198187995468</v>
      </c>
      <c r="N76" s="17">
        <v>128.25204431548406</v>
      </c>
      <c r="O76" s="18" t="s">
        <v>8</v>
      </c>
      <c r="P76" s="58" t="s">
        <v>258</v>
      </c>
    </row>
    <row r="77" spans="1:16" x14ac:dyDescent="0.3">
      <c r="A77" s="64" t="s">
        <v>270</v>
      </c>
      <c r="B77" s="22" t="s">
        <v>257</v>
      </c>
      <c r="C77" s="17">
        <v>95.9</v>
      </c>
      <c r="D77" s="17">
        <v>111.6</v>
      </c>
      <c r="E77" s="17">
        <v>112.5</v>
      </c>
      <c r="F77" s="17">
        <v>107.7</v>
      </c>
      <c r="G77" s="17">
        <v>114.9</v>
      </c>
      <c r="H77" s="17">
        <v>100</v>
      </c>
      <c r="I77" s="17">
        <v>105.7</v>
      </c>
      <c r="J77" s="17">
        <v>114.6</v>
      </c>
      <c r="K77" s="17">
        <v>129.6</v>
      </c>
      <c r="L77" s="17">
        <v>134.30000000000001</v>
      </c>
      <c r="M77" s="17">
        <v>120.7</v>
      </c>
      <c r="N77" s="17">
        <v>125.9</v>
      </c>
      <c r="O77" s="18" t="s">
        <v>8</v>
      </c>
      <c r="P77" s="65" t="s">
        <v>258</v>
      </c>
    </row>
    <row r="78" spans="1:16" x14ac:dyDescent="0.3">
      <c r="A78" s="50" t="s">
        <v>271</v>
      </c>
      <c r="B78" s="22" t="s">
        <v>257</v>
      </c>
      <c r="C78" s="30">
        <v>85.6</v>
      </c>
      <c r="D78" s="30">
        <v>91.9</v>
      </c>
      <c r="E78" s="30">
        <v>94.5</v>
      </c>
      <c r="F78" s="30">
        <v>95.7</v>
      </c>
      <c r="G78" s="30">
        <v>98.3</v>
      </c>
      <c r="H78" s="30">
        <v>100</v>
      </c>
      <c r="I78" s="30">
        <v>102.9</v>
      </c>
      <c r="J78" s="30">
        <v>109.8</v>
      </c>
      <c r="K78" s="30">
        <v>114.3</v>
      </c>
      <c r="L78" s="30">
        <v>118.1</v>
      </c>
      <c r="M78" s="30">
        <v>118.1</v>
      </c>
      <c r="N78" s="30">
        <v>126.7</v>
      </c>
      <c r="O78" s="18" t="s">
        <v>8</v>
      </c>
      <c r="P78" s="58"/>
    </row>
    <row r="79" spans="1:16" x14ac:dyDescent="0.3">
      <c r="A79" s="49"/>
      <c r="B79" s="5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3">
      <c r="A80" s="4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5.6" x14ac:dyDescent="0.3">
      <c r="A81" s="8" t="s">
        <v>247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5.6" x14ac:dyDescent="0.3">
      <c r="A82" s="8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x14ac:dyDescent="0.3">
      <c r="A83" s="49" t="s">
        <v>272</v>
      </c>
      <c r="B83" s="22" t="s">
        <v>257</v>
      </c>
      <c r="C83" s="17">
        <v>92.654106142626262</v>
      </c>
      <c r="D83" s="17">
        <v>103.00357083939532</v>
      </c>
      <c r="E83" s="17">
        <v>103.36985111217147</v>
      </c>
      <c r="F83" s="17">
        <v>103.26385127109056</v>
      </c>
      <c r="G83" s="17">
        <v>106.93915778528094</v>
      </c>
      <c r="H83" s="17">
        <v>100</v>
      </c>
      <c r="I83" s="17">
        <v>96.010445098495552</v>
      </c>
      <c r="J83" s="17">
        <v>122.43881110771851</v>
      </c>
      <c r="K83" s="17">
        <v>134.81122710949967</v>
      </c>
      <c r="L83" s="17">
        <v>120.38976319038547</v>
      </c>
      <c r="M83" s="17">
        <v>103.59729902079219</v>
      </c>
      <c r="N83" s="17">
        <v>113.46177814330065</v>
      </c>
      <c r="O83" s="18" t="s">
        <v>8</v>
      </c>
      <c r="P83" s="59" t="s">
        <v>258</v>
      </c>
    </row>
    <row r="84" spans="1:16" x14ac:dyDescent="0.3">
      <c r="A84" s="49" t="s">
        <v>273</v>
      </c>
      <c r="B84" s="22" t="s">
        <v>257</v>
      </c>
      <c r="C84" s="17">
        <v>92.577054256338755</v>
      </c>
      <c r="D84" s="17">
        <v>92.972858058004604</v>
      </c>
      <c r="E84" s="17">
        <v>92.487285050072273</v>
      </c>
      <c r="F84" s="17">
        <v>100.00053677888876</v>
      </c>
      <c r="G84" s="17">
        <v>105.75110551731005</v>
      </c>
      <c r="H84" s="17">
        <v>100.00000000000001</v>
      </c>
      <c r="I84" s="17">
        <v>108.49470954964957</v>
      </c>
      <c r="J84" s="17">
        <v>113.37787185534093</v>
      </c>
      <c r="K84" s="17">
        <v>113.08066586008576</v>
      </c>
      <c r="L84" s="17">
        <v>94.260802498564473</v>
      </c>
      <c r="M84" s="17">
        <v>98.315291206078598</v>
      </c>
      <c r="N84" s="17">
        <v>106.21159117507254</v>
      </c>
      <c r="O84" s="18" t="s">
        <v>8</v>
      </c>
      <c r="P84" s="58" t="s">
        <v>258</v>
      </c>
    </row>
    <row r="85" spans="1:16" x14ac:dyDescent="0.3">
      <c r="A85" s="50" t="s">
        <v>274</v>
      </c>
      <c r="B85" s="22" t="s">
        <v>257</v>
      </c>
      <c r="C85" s="17">
        <v>78.991831568766827</v>
      </c>
      <c r="D85" s="17">
        <v>101.91968011218358</v>
      </c>
      <c r="E85" s="17">
        <v>110.59553743605626</v>
      </c>
      <c r="F85" s="17">
        <v>106.06655474889918</v>
      </c>
      <c r="G85" s="17">
        <v>99.632994566790202</v>
      </c>
      <c r="H85" s="17">
        <v>100</v>
      </c>
      <c r="I85" s="17">
        <v>111.8361095658011</v>
      </c>
      <c r="J85" s="17">
        <v>122.75083203222327</v>
      </c>
      <c r="K85" s="17">
        <v>135.62717418743321</v>
      </c>
      <c r="L85" s="17">
        <v>133.0448269166327</v>
      </c>
      <c r="M85" s="17">
        <v>137.76103107816391</v>
      </c>
      <c r="N85" s="17">
        <v>147.13900079300117</v>
      </c>
      <c r="O85" s="18" t="s">
        <v>8</v>
      </c>
      <c r="P85" s="58" t="s">
        <v>258</v>
      </c>
    </row>
    <row r="86" spans="1:16" x14ac:dyDescent="0.3">
      <c r="A86" s="49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8"/>
      <c r="P86" s="65"/>
    </row>
    <row r="87" spans="1:16" ht="15.6" x14ac:dyDescent="0.3">
      <c r="A87" s="8" t="s">
        <v>275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73"/>
      <c r="P87" s="25"/>
    </row>
    <row r="88" spans="1:16" x14ac:dyDescent="0.3">
      <c r="A88" s="49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73"/>
      <c r="P88" s="25"/>
    </row>
    <row r="89" spans="1:16" x14ac:dyDescent="0.3">
      <c r="A89" s="49" t="s">
        <v>276</v>
      </c>
      <c r="B89" s="191" t="s">
        <v>277</v>
      </c>
      <c r="C89" s="66">
        <v>0.3</v>
      </c>
      <c r="D89" s="66">
        <v>0.3</v>
      </c>
      <c r="E89" s="66">
        <v>0.2</v>
      </c>
      <c r="F89" s="66">
        <v>0.2</v>
      </c>
      <c r="G89" s="66">
        <v>0.14899999999999999</v>
      </c>
      <c r="H89" s="66">
        <v>0.24</v>
      </c>
      <c r="I89" s="66">
        <v>1.65</v>
      </c>
      <c r="J89" s="66">
        <v>1.512</v>
      </c>
      <c r="K89" s="66">
        <v>0.93540000000000001</v>
      </c>
      <c r="L89" s="67">
        <v>1.4339999999999999</v>
      </c>
      <c r="M89" s="71">
        <v>1.2529000000000001</v>
      </c>
      <c r="N89" s="71">
        <v>7.9299999999999995E-2</v>
      </c>
      <c r="O89" s="18" t="s">
        <v>8</v>
      </c>
      <c r="P89" s="58" t="s">
        <v>278</v>
      </c>
    </row>
    <row r="90" spans="1:16" x14ac:dyDescent="0.3">
      <c r="A90" s="64" t="s">
        <v>279</v>
      </c>
      <c r="B90" s="192" t="s">
        <v>277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18" t="s">
        <v>8</v>
      </c>
      <c r="P90" s="58" t="s">
        <v>278</v>
      </c>
    </row>
    <row r="91" spans="1:16" x14ac:dyDescent="0.3">
      <c r="A91" s="64" t="s">
        <v>280</v>
      </c>
      <c r="B91" s="192" t="s">
        <v>277</v>
      </c>
      <c r="C91" s="69">
        <v>0.3</v>
      </c>
      <c r="D91" s="69">
        <v>0.3</v>
      </c>
      <c r="E91" s="69">
        <v>0.2</v>
      </c>
      <c r="F91" s="69">
        <v>0.2</v>
      </c>
      <c r="G91" s="69">
        <v>0.14899999999999999</v>
      </c>
      <c r="H91" s="69">
        <v>0.24</v>
      </c>
      <c r="I91" s="69">
        <v>1.65</v>
      </c>
      <c r="J91" s="69">
        <v>1.512</v>
      </c>
      <c r="K91" s="69">
        <v>0.93540000000000001</v>
      </c>
      <c r="L91" s="70">
        <v>1.4339999999999999</v>
      </c>
      <c r="M91" s="71">
        <v>1.2529000000000001</v>
      </c>
      <c r="N91" s="71">
        <v>7.9299999999999995E-2</v>
      </c>
      <c r="O91" s="18" t="s">
        <v>8</v>
      </c>
      <c r="P91" s="58" t="s">
        <v>278</v>
      </c>
    </row>
    <row r="92" spans="1:16" x14ac:dyDescent="0.3">
      <c r="A92" s="49" t="s">
        <v>281</v>
      </c>
      <c r="B92" s="191" t="s">
        <v>277</v>
      </c>
      <c r="C92" s="71">
        <v>375</v>
      </c>
      <c r="D92" s="71">
        <v>451</v>
      </c>
      <c r="E92" s="71">
        <v>481</v>
      </c>
      <c r="F92" s="71">
        <v>456</v>
      </c>
      <c r="G92" s="71">
        <v>447.35</v>
      </c>
      <c r="H92" s="71">
        <v>390</v>
      </c>
      <c r="I92" s="71">
        <v>318.5</v>
      </c>
      <c r="J92" s="71">
        <v>517.91600000000005</v>
      </c>
      <c r="K92" s="71">
        <v>526.34900000000005</v>
      </c>
      <c r="L92" s="71">
        <v>121.911</v>
      </c>
      <c r="M92" s="71">
        <v>255.3</v>
      </c>
      <c r="N92" s="71">
        <f t="shared" ref="N92" si="2">M92/1000</f>
        <v>0.25530000000000003</v>
      </c>
      <c r="O92" s="18" t="s">
        <v>8</v>
      </c>
      <c r="P92" s="58" t="s">
        <v>282</v>
      </c>
    </row>
    <row r="93" spans="1:16" x14ac:dyDescent="0.3">
      <c r="A93" s="49" t="s">
        <v>283</v>
      </c>
      <c r="B93" s="191" t="s">
        <v>277</v>
      </c>
      <c r="C93" s="71">
        <v>536.69100000000003</v>
      </c>
      <c r="D93" s="71">
        <v>719</v>
      </c>
      <c r="E93" s="71">
        <v>715</v>
      </c>
      <c r="F93" s="71">
        <v>691</v>
      </c>
      <c r="G93" s="71">
        <v>720.48</v>
      </c>
      <c r="H93" s="71">
        <v>356</v>
      </c>
      <c r="I93" s="71">
        <v>422.8</v>
      </c>
      <c r="J93" s="71">
        <v>502.92</v>
      </c>
      <c r="K93" s="71">
        <v>505.34899999999999</v>
      </c>
      <c r="L93" s="71">
        <v>159.6</v>
      </c>
      <c r="M93" s="71">
        <v>34.9</v>
      </c>
      <c r="N93" s="71">
        <v>0</v>
      </c>
      <c r="O93" s="18" t="s">
        <v>8</v>
      </c>
      <c r="P93" s="58" t="s">
        <v>282</v>
      </c>
    </row>
    <row r="94" spans="1:16" x14ac:dyDescent="0.3">
      <c r="A94" s="49" t="s">
        <v>284</v>
      </c>
      <c r="B94" s="191" t="s">
        <v>277</v>
      </c>
      <c r="C94" s="71">
        <v>0</v>
      </c>
      <c r="D94" s="71">
        <v>0</v>
      </c>
      <c r="E94" s="71">
        <v>17</v>
      </c>
      <c r="F94" s="71">
        <v>121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18" t="s">
        <v>8</v>
      </c>
      <c r="P94" s="58" t="s">
        <v>282</v>
      </c>
    </row>
    <row r="95" spans="1:16" x14ac:dyDescent="0.3">
      <c r="A95" s="49" t="s">
        <v>285</v>
      </c>
      <c r="B95" s="191" t="s">
        <v>277</v>
      </c>
      <c r="C95" s="71">
        <v>73.099999999999994</v>
      </c>
      <c r="D95" s="71">
        <v>70.5</v>
      </c>
      <c r="E95" s="71">
        <v>77.3</v>
      </c>
      <c r="F95" s="71">
        <v>74.900000000000006</v>
      </c>
      <c r="G95" s="71">
        <v>75</v>
      </c>
      <c r="H95" s="71">
        <v>65.5</v>
      </c>
      <c r="I95" s="71">
        <v>65.174999999999997</v>
      </c>
      <c r="J95" s="71">
        <v>67</v>
      </c>
      <c r="K95" s="71">
        <v>75.709999999999994</v>
      </c>
      <c r="L95" s="71">
        <v>59.999199999999995</v>
      </c>
      <c r="M95" s="71">
        <v>60.923000000000002</v>
      </c>
      <c r="N95" s="71">
        <v>5.6017999999999999</v>
      </c>
      <c r="O95" s="18" t="s">
        <v>8</v>
      </c>
      <c r="P95" s="58" t="s">
        <v>282</v>
      </c>
    </row>
    <row r="96" spans="1:16" x14ac:dyDescent="0.3">
      <c r="A96" s="49" t="s">
        <v>286</v>
      </c>
      <c r="B96" s="191" t="s">
        <v>277</v>
      </c>
      <c r="C96" s="71">
        <v>220.8</v>
      </c>
      <c r="D96" s="71">
        <v>221.4</v>
      </c>
      <c r="E96" s="71">
        <v>232.8</v>
      </c>
      <c r="F96" s="71">
        <v>223.8</v>
      </c>
      <c r="G96" s="71">
        <v>239.24799999999999</v>
      </c>
      <c r="H96" s="71">
        <v>247.732</v>
      </c>
      <c r="I96" s="71">
        <v>244</v>
      </c>
      <c r="J96" s="71">
        <v>241.88200000000001</v>
      </c>
      <c r="K96" s="71">
        <v>233.93</v>
      </c>
      <c r="L96" s="71">
        <v>222.29</v>
      </c>
      <c r="M96" s="71">
        <v>230.18099999999998</v>
      </c>
      <c r="N96" s="71">
        <f>N97+N98</f>
        <v>22.001000000000001</v>
      </c>
      <c r="O96" s="18" t="s">
        <v>8</v>
      </c>
      <c r="P96" s="18" t="s">
        <v>287</v>
      </c>
    </row>
    <row r="97" spans="1:16" x14ac:dyDescent="0.3">
      <c r="A97" s="64" t="s">
        <v>288</v>
      </c>
      <c r="B97" s="192" t="s">
        <v>277</v>
      </c>
      <c r="C97" s="68">
        <v>148</v>
      </c>
      <c r="D97" s="68">
        <v>150.80000000000001</v>
      </c>
      <c r="E97" s="68">
        <v>158.4</v>
      </c>
      <c r="F97" s="68">
        <v>151</v>
      </c>
      <c r="G97" s="68">
        <v>166.24799999999999</v>
      </c>
      <c r="H97" s="68">
        <v>173.732</v>
      </c>
      <c r="I97" s="68">
        <v>178</v>
      </c>
      <c r="J97" s="71">
        <v>175</v>
      </c>
      <c r="K97" s="71">
        <v>164.95599999999999</v>
      </c>
      <c r="L97" s="71">
        <v>166.98099999999999</v>
      </c>
      <c r="M97" s="71">
        <v>173.601</v>
      </c>
      <c r="N97" s="71">
        <v>16.690000000000001</v>
      </c>
      <c r="O97" s="18" t="s">
        <v>8</v>
      </c>
      <c r="P97" s="58" t="s">
        <v>282</v>
      </c>
    </row>
    <row r="98" spans="1:16" x14ac:dyDescent="0.3">
      <c r="A98" s="64" t="s">
        <v>289</v>
      </c>
      <c r="B98" s="192" t="s">
        <v>277</v>
      </c>
      <c r="C98" s="68">
        <v>72.8</v>
      </c>
      <c r="D98" s="68">
        <v>70.599999999999994</v>
      </c>
      <c r="E98" s="68">
        <v>74.400000000000006</v>
      </c>
      <c r="F98" s="68">
        <v>72.8</v>
      </c>
      <c r="G98" s="68">
        <v>73</v>
      </c>
      <c r="H98" s="68">
        <v>74</v>
      </c>
      <c r="I98" s="68">
        <v>66</v>
      </c>
      <c r="J98" s="71">
        <v>66.882000000000005</v>
      </c>
      <c r="K98" s="71">
        <v>68.97</v>
      </c>
      <c r="L98" s="55">
        <v>55.31</v>
      </c>
      <c r="M98" s="71">
        <v>56.58</v>
      </c>
      <c r="N98" s="71">
        <v>5.3109999999999999</v>
      </c>
      <c r="O98" s="18" t="s">
        <v>8</v>
      </c>
      <c r="P98" s="58" t="s">
        <v>282</v>
      </c>
    </row>
    <row r="99" spans="1:16" x14ac:dyDescent="0.3">
      <c r="A99" s="49" t="s">
        <v>290</v>
      </c>
      <c r="B99" s="191" t="s">
        <v>277</v>
      </c>
      <c r="C99" s="71">
        <v>81.599999999999994</v>
      </c>
      <c r="D99" s="71">
        <v>81.400000000000006</v>
      </c>
      <c r="E99" s="71">
        <v>73.900000000000006</v>
      </c>
      <c r="F99" s="71">
        <v>84</v>
      </c>
      <c r="G99" s="71">
        <v>64</v>
      </c>
      <c r="H99" s="71">
        <v>88.04</v>
      </c>
      <c r="I99" s="71">
        <v>81.52</v>
      </c>
      <c r="J99" s="71">
        <v>84.85</v>
      </c>
      <c r="K99" s="71">
        <v>86.242999999999995</v>
      </c>
      <c r="L99" s="71">
        <v>86.683000000000007</v>
      </c>
      <c r="M99" s="71" t="s">
        <v>291</v>
      </c>
      <c r="N99" s="71">
        <v>78</v>
      </c>
      <c r="O99" s="18" t="s">
        <v>48</v>
      </c>
      <c r="P99" s="58" t="s">
        <v>292</v>
      </c>
    </row>
    <row r="100" spans="1:16" x14ac:dyDescent="0.3">
      <c r="A100" s="64" t="s">
        <v>293</v>
      </c>
      <c r="B100" s="192" t="s">
        <v>277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71">
        <v>0</v>
      </c>
      <c r="K100" s="71">
        <v>0</v>
      </c>
      <c r="L100" s="55">
        <v>0</v>
      </c>
      <c r="M100" s="71">
        <v>0</v>
      </c>
      <c r="N100" s="71">
        <v>0</v>
      </c>
      <c r="O100" s="18" t="s">
        <v>48</v>
      </c>
      <c r="P100" s="58" t="s">
        <v>292</v>
      </c>
    </row>
    <row r="101" spans="1:16" x14ac:dyDescent="0.3">
      <c r="A101" s="64" t="s">
        <v>294</v>
      </c>
      <c r="B101" s="192" t="s">
        <v>277</v>
      </c>
      <c r="C101" s="68">
        <v>81.599999999999994</v>
      </c>
      <c r="D101" s="68">
        <v>81.400000000000006</v>
      </c>
      <c r="E101" s="68">
        <v>73.900000000000006</v>
      </c>
      <c r="F101" s="68">
        <v>84</v>
      </c>
      <c r="G101" s="68">
        <v>64</v>
      </c>
      <c r="H101" s="71">
        <v>88.04</v>
      </c>
      <c r="I101" s="71">
        <v>81.52</v>
      </c>
      <c r="J101" s="71">
        <v>84.85</v>
      </c>
      <c r="K101" s="71">
        <v>86.242999999999995</v>
      </c>
      <c r="L101" s="71">
        <v>86.683000000000007</v>
      </c>
      <c r="M101" s="71" t="s">
        <v>291</v>
      </c>
      <c r="N101" s="71">
        <v>78</v>
      </c>
      <c r="O101" s="18" t="s">
        <v>48</v>
      </c>
      <c r="P101" s="58" t="s">
        <v>292</v>
      </c>
    </row>
    <row r="102" spans="1:16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ht="18" x14ac:dyDescent="0.35">
      <c r="A103" s="48" t="s">
        <v>295</v>
      </c>
      <c r="B103" s="48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5.6" x14ac:dyDescent="0.3">
      <c r="A105" s="8" t="s">
        <v>296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x14ac:dyDescent="0.3">
      <c r="A106" s="49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x14ac:dyDescent="0.3">
      <c r="A107" s="49" t="s">
        <v>297</v>
      </c>
      <c r="B107" s="191" t="s">
        <v>88</v>
      </c>
      <c r="C107" s="71">
        <v>31.81427343078245</v>
      </c>
      <c r="D107" s="71">
        <v>20.612400878952897</v>
      </c>
      <c r="E107" s="71">
        <v>26.846278780930543</v>
      </c>
      <c r="F107" s="71">
        <v>25.81924142543231</v>
      </c>
      <c r="G107" s="71">
        <v>22.785898538263112</v>
      </c>
      <c r="H107" s="71">
        <v>31.885927199770709</v>
      </c>
      <c r="I107" s="71">
        <v>29.903506257762491</v>
      </c>
      <c r="J107" s="71">
        <v>18.462787809305436</v>
      </c>
      <c r="K107" s="71">
        <v>11.369064679468806</v>
      </c>
      <c r="L107" s="71">
        <v>26.607432884303051</v>
      </c>
      <c r="M107" s="71">
        <v>23.741282124773093</v>
      </c>
      <c r="N107" s="71">
        <v>17.674596350434697</v>
      </c>
      <c r="O107" s="72"/>
      <c r="P107" s="49"/>
    </row>
    <row r="108" spans="1:16" x14ac:dyDescent="0.3">
      <c r="A108" s="64" t="s">
        <v>298</v>
      </c>
      <c r="B108" s="192" t="s">
        <v>88</v>
      </c>
      <c r="C108" s="71">
        <v>17.196904557179703</v>
      </c>
      <c r="D108" s="71">
        <v>9.1000286615075936</v>
      </c>
      <c r="E108" s="71">
        <v>13.112639724849526</v>
      </c>
      <c r="F108" s="71">
        <v>14.139677080347758</v>
      </c>
      <c r="G108" s="71">
        <v>11.10633419317856</v>
      </c>
      <c r="H108" s="71">
        <v>18.152288143689692</v>
      </c>
      <c r="I108" s="71">
        <v>16.169867201681473</v>
      </c>
      <c r="J108" s="71">
        <v>11.942294831374797</v>
      </c>
      <c r="K108" s="71">
        <v>8.0729913060093619</v>
      </c>
      <c r="L108" s="71">
        <v>9.171682430495844</v>
      </c>
      <c r="M108" s="71">
        <v>4.5141874462596734</v>
      </c>
      <c r="N108" s="71">
        <v>5.8517244673736499</v>
      </c>
      <c r="O108" s="72" t="s">
        <v>8</v>
      </c>
      <c r="P108" s="18" t="s">
        <v>108</v>
      </c>
    </row>
    <row r="109" spans="1:16" x14ac:dyDescent="0.3">
      <c r="A109" s="357" t="s">
        <v>110</v>
      </c>
      <c r="B109" s="192" t="s">
        <v>88</v>
      </c>
      <c r="C109" s="71">
        <v>11.392949269131554</v>
      </c>
      <c r="D109" s="71">
        <v>9.3627591477978402</v>
      </c>
      <c r="E109" s="71">
        <v>9.3627591477978402</v>
      </c>
      <c r="F109" s="71">
        <v>8.4073755612878571</v>
      </c>
      <c r="G109" s="71">
        <v>8.4073755612878571</v>
      </c>
      <c r="H109" s="71">
        <v>9.3627591477978402</v>
      </c>
      <c r="I109" s="71">
        <v>9.362759147797842</v>
      </c>
      <c r="J109" s="71">
        <v>0</v>
      </c>
      <c r="K109" s="71">
        <v>0</v>
      </c>
      <c r="L109" s="71">
        <v>9.9121047100410813</v>
      </c>
      <c r="M109" s="71">
        <v>13.279831852488773</v>
      </c>
      <c r="N109" s="71">
        <v>8.9806057131938459</v>
      </c>
      <c r="O109" s="72" t="s">
        <v>8</v>
      </c>
      <c r="P109" s="18" t="s">
        <v>108</v>
      </c>
    </row>
    <row r="110" spans="1:16" x14ac:dyDescent="0.3">
      <c r="A110" s="64" t="s">
        <v>299</v>
      </c>
      <c r="B110" s="192" t="s">
        <v>88</v>
      </c>
      <c r="C110" s="71">
        <v>3.224419604471195</v>
      </c>
      <c r="D110" s="71">
        <v>2.1496130696474633</v>
      </c>
      <c r="E110" s="71">
        <v>4.3708799082831753</v>
      </c>
      <c r="F110" s="71">
        <v>3.2721887837966941</v>
      </c>
      <c r="G110" s="71">
        <v>3.2721887837966941</v>
      </c>
      <c r="H110" s="71">
        <v>4.3708799082831753</v>
      </c>
      <c r="I110" s="71">
        <v>4.3708799082831753</v>
      </c>
      <c r="J110" s="71">
        <v>6.5204929779306386</v>
      </c>
      <c r="K110" s="71">
        <v>3.2960733734594436</v>
      </c>
      <c r="L110" s="71">
        <v>7.5236457437661226</v>
      </c>
      <c r="M110" s="71">
        <v>5.9472628260246481</v>
      </c>
      <c r="N110" s="71">
        <v>2.8422661698672016</v>
      </c>
      <c r="O110" s="72" t="s">
        <v>8</v>
      </c>
      <c r="P110" s="18" t="s">
        <v>108</v>
      </c>
    </row>
    <row r="111" spans="1:16" x14ac:dyDescent="0.3">
      <c r="A111" s="49" t="s">
        <v>300</v>
      </c>
      <c r="B111" s="191" t="s">
        <v>88</v>
      </c>
      <c r="C111" s="71">
        <v>107.09850004776916</v>
      </c>
      <c r="D111" s="71">
        <v>105.06830992643546</v>
      </c>
      <c r="E111" s="71">
        <v>108.77042132416163</v>
      </c>
      <c r="F111" s="71">
        <v>135.23454667048821</v>
      </c>
      <c r="G111" s="71">
        <v>87.513136524314518</v>
      </c>
      <c r="H111" s="71">
        <v>83.763255947262834</v>
      </c>
      <c r="I111" s="71">
        <v>93.747014426292154</v>
      </c>
      <c r="J111" s="71">
        <v>86.86825260342026</v>
      </c>
      <c r="K111" s="71">
        <v>97.87904843794783</v>
      </c>
      <c r="L111" s="71">
        <v>89.901595490589457</v>
      </c>
      <c r="M111" s="71">
        <v>88.325212572847988</v>
      </c>
      <c r="N111" s="71">
        <v>89.614980414636463</v>
      </c>
      <c r="O111" s="72"/>
      <c r="P111" s="58"/>
    </row>
    <row r="112" spans="1:16" x14ac:dyDescent="0.3">
      <c r="A112" s="64" t="s">
        <v>301</v>
      </c>
      <c r="B112" s="192" t="s">
        <v>88</v>
      </c>
      <c r="C112" s="71">
        <v>107.09850004776916</v>
      </c>
      <c r="D112" s="71">
        <v>105.06830992643546</v>
      </c>
      <c r="E112" s="71">
        <v>108.77042132416163</v>
      </c>
      <c r="F112" s="71">
        <v>135.23454667048821</v>
      </c>
      <c r="G112" s="71">
        <v>87.513136524314518</v>
      </c>
      <c r="H112" s="71">
        <v>83.763255947262834</v>
      </c>
      <c r="I112" s="71">
        <v>93.747014426292154</v>
      </c>
      <c r="J112" s="71">
        <v>86.86825260342026</v>
      </c>
      <c r="K112" s="71">
        <v>97.87904843794783</v>
      </c>
      <c r="L112" s="71">
        <v>89.901595490589457</v>
      </c>
      <c r="M112" s="71">
        <v>88.325212572847988</v>
      </c>
      <c r="N112" s="71">
        <v>89.614980414636463</v>
      </c>
      <c r="O112" s="72" t="s">
        <v>8</v>
      </c>
      <c r="P112" s="18" t="s">
        <v>108</v>
      </c>
    </row>
    <row r="113" spans="1:16" x14ac:dyDescent="0.3">
      <c r="A113" s="64" t="s">
        <v>302</v>
      </c>
      <c r="B113" s="192" t="s">
        <v>88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2" t="s">
        <v>8</v>
      </c>
      <c r="P113" s="18" t="s">
        <v>108</v>
      </c>
    </row>
    <row r="114" spans="1:16" x14ac:dyDescent="0.3">
      <c r="A114" s="49" t="s">
        <v>303</v>
      </c>
      <c r="B114" s="191" t="s">
        <v>88</v>
      </c>
      <c r="C114" s="71">
        <v>74.543804337441472</v>
      </c>
      <c r="D114" s="71">
        <v>89.304480749020726</v>
      </c>
      <c r="E114" s="71">
        <v>75.35588038597497</v>
      </c>
      <c r="F114" s="71">
        <v>125.48963408808638</v>
      </c>
      <c r="G114" s="71">
        <v>92.958822967421412</v>
      </c>
      <c r="H114" s="71">
        <v>48.055794401452175</v>
      </c>
      <c r="I114" s="71">
        <v>39.218496226234834</v>
      </c>
      <c r="J114" s="71">
        <v>54.361326072418066</v>
      </c>
      <c r="K114" s="71">
        <v>54.241903124104326</v>
      </c>
      <c r="L114" s="71">
        <v>64.273430782459144</v>
      </c>
      <c r="M114" s="71">
        <v>10.103181427343078</v>
      </c>
      <c r="N114" s="71">
        <v>4.7769179325499185E-2</v>
      </c>
      <c r="O114" s="72"/>
      <c r="P114" s="58"/>
    </row>
    <row r="115" spans="1:16" x14ac:dyDescent="0.3">
      <c r="A115" s="64" t="s">
        <v>114</v>
      </c>
      <c r="B115" s="192" t="s">
        <v>88</v>
      </c>
      <c r="C115" s="71">
        <v>30.476736409668479</v>
      </c>
      <c r="D115" s="71">
        <v>37.092767746250111</v>
      </c>
      <c r="E115" s="71">
        <v>33.844463552116174</v>
      </c>
      <c r="F115" s="71">
        <v>27.873316136428773</v>
      </c>
      <c r="G115" s="71">
        <v>42.156300754753026</v>
      </c>
      <c r="H115" s="71">
        <v>14.259100028661507</v>
      </c>
      <c r="I115" s="71">
        <v>12.969332186873029</v>
      </c>
      <c r="J115" s="71">
        <v>17.913442247062193</v>
      </c>
      <c r="K115" s="71">
        <v>23.120282793541605</v>
      </c>
      <c r="L115" s="71">
        <v>27.228432215534536</v>
      </c>
      <c r="M115" s="71">
        <v>5.1351867774911621</v>
      </c>
      <c r="N115" s="71">
        <v>0</v>
      </c>
      <c r="O115" s="72" t="s">
        <v>8</v>
      </c>
      <c r="P115" s="18" t="s">
        <v>108</v>
      </c>
    </row>
    <row r="116" spans="1:16" x14ac:dyDescent="0.3">
      <c r="A116" s="64" t="s">
        <v>304</v>
      </c>
      <c r="B116" s="192" t="s">
        <v>88</v>
      </c>
      <c r="C116" s="71">
        <v>44.067067927772996</v>
      </c>
      <c r="D116" s="71">
        <v>52.211713002770608</v>
      </c>
      <c r="E116" s="71">
        <v>41.511416833858789</v>
      </c>
      <c r="F116" s="71">
        <v>36.280691697716634</v>
      </c>
      <c r="G116" s="71">
        <v>33.916117321104423</v>
      </c>
      <c r="H116" s="71">
        <v>14.951753128881245</v>
      </c>
      <c r="I116" s="71">
        <v>9.7449125824018346</v>
      </c>
      <c r="J116" s="71">
        <v>19.991401547721409</v>
      </c>
      <c r="K116" s="71">
        <v>22.427629693321869</v>
      </c>
      <c r="L116" s="71">
        <v>19.871978599407662</v>
      </c>
      <c r="M116" s="71">
        <v>1.3853062004394763</v>
      </c>
      <c r="N116" s="71">
        <v>0</v>
      </c>
      <c r="O116" s="72" t="s">
        <v>8</v>
      </c>
      <c r="P116" s="18" t="s">
        <v>108</v>
      </c>
    </row>
    <row r="117" spans="1:16" x14ac:dyDescent="0.3">
      <c r="A117" s="64" t="s">
        <v>116</v>
      </c>
      <c r="B117" s="192" t="s">
        <v>88</v>
      </c>
      <c r="C117" s="71">
        <v>0</v>
      </c>
      <c r="D117" s="71">
        <v>0</v>
      </c>
      <c r="E117" s="71">
        <v>0</v>
      </c>
      <c r="F117" s="71">
        <v>3.4154963217731917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2" t="s">
        <v>8</v>
      </c>
      <c r="P117" s="18" t="s">
        <v>108</v>
      </c>
    </row>
    <row r="118" spans="1:16" x14ac:dyDescent="0.3">
      <c r="A118" s="64" t="s">
        <v>117</v>
      </c>
      <c r="B118" s="192" t="s">
        <v>88</v>
      </c>
      <c r="C118" s="71">
        <v>0</v>
      </c>
      <c r="D118" s="71">
        <v>0</v>
      </c>
      <c r="E118" s="71">
        <v>0</v>
      </c>
      <c r="F118" s="71">
        <v>57.920129932167761</v>
      </c>
      <c r="G118" s="71">
        <v>16.886404891563963</v>
      </c>
      <c r="H118" s="71">
        <v>18.844941243909428</v>
      </c>
      <c r="I118" s="71">
        <v>16.50425145695997</v>
      </c>
      <c r="J118" s="71">
        <v>16.456482277634468</v>
      </c>
      <c r="K118" s="71">
        <v>8.6939906372408515</v>
      </c>
      <c r="L118" s="71">
        <v>17.173019967516957</v>
      </c>
      <c r="M118" s="71">
        <v>3.5826884494124389</v>
      </c>
      <c r="N118" s="71">
        <v>4.7769179325499185E-2</v>
      </c>
      <c r="O118" s="72" t="s">
        <v>8</v>
      </c>
      <c r="P118" s="18" t="s">
        <v>108</v>
      </c>
    </row>
    <row r="119" spans="1:16" x14ac:dyDescent="0.3">
      <c r="A119" s="49" t="s">
        <v>305</v>
      </c>
      <c r="B119" s="191" t="s">
        <v>88</v>
      </c>
      <c r="C119" s="71">
        <v>41.272570937231301</v>
      </c>
      <c r="D119" s="71">
        <v>35.97019203210089</v>
      </c>
      <c r="E119" s="71">
        <v>34.05942485908092</v>
      </c>
      <c r="F119" s="71">
        <v>31.384350816852965</v>
      </c>
      <c r="G119" s="71">
        <v>29.807967899111492</v>
      </c>
      <c r="H119" s="71">
        <v>35.396961880194894</v>
      </c>
      <c r="I119" s="71">
        <v>35.540269418171398</v>
      </c>
      <c r="J119" s="71">
        <v>34.990923855928159</v>
      </c>
      <c r="K119" s="71">
        <v>33.796694372790675</v>
      </c>
      <c r="L119" s="71">
        <v>31.456004585841214</v>
      </c>
      <c r="M119" s="71">
        <v>34.943154676602653</v>
      </c>
      <c r="N119" s="71">
        <v>39.146842457246578</v>
      </c>
      <c r="O119" s="72" t="s">
        <v>8</v>
      </c>
      <c r="P119" s="18" t="s">
        <v>108</v>
      </c>
    </row>
    <row r="120" spans="1:16" x14ac:dyDescent="0.3">
      <c r="A120" s="49" t="s">
        <v>306</v>
      </c>
      <c r="B120" s="191" t="s">
        <v>88</v>
      </c>
      <c r="C120" s="71">
        <v>173.52154389987578</v>
      </c>
      <c r="D120" s="71">
        <v>168.41024171204739</v>
      </c>
      <c r="E120" s="71">
        <v>179.37326836724944</v>
      </c>
      <c r="F120" s="71">
        <v>176.53100219738224</v>
      </c>
      <c r="G120" s="71">
        <v>173.80815897582877</v>
      </c>
      <c r="H120" s="71">
        <v>168.50578007069836</v>
      </c>
      <c r="I120" s="71">
        <v>176.33992548008024</v>
      </c>
      <c r="J120" s="71">
        <v>188.18668195280407</v>
      </c>
      <c r="K120" s="71">
        <v>195.08932836533864</v>
      </c>
      <c r="L120" s="71">
        <v>176.10107958345273</v>
      </c>
      <c r="M120" s="71">
        <v>174.35750453807202</v>
      </c>
      <c r="N120" s="71">
        <v>183.95910958249738</v>
      </c>
      <c r="O120" s="72" t="s">
        <v>8</v>
      </c>
      <c r="P120" s="18" t="s">
        <v>108</v>
      </c>
    </row>
    <row r="121" spans="1:16" x14ac:dyDescent="0.3">
      <c r="A121" s="49" t="s">
        <v>307</v>
      </c>
      <c r="B121" s="191" t="s">
        <v>88</v>
      </c>
      <c r="C121" s="71">
        <v>104.16069551925096</v>
      </c>
      <c r="D121" s="71">
        <v>109.22422852775388</v>
      </c>
      <c r="E121" s="71">
        <v>76.23961020349671</v>
      </c>
      <c r="F121" s="71">
        <v>82.425718926148846</v>
      </c>
      <c r="G121" s="71">
        <v>89.065634852393231</v>
      </c>
      <c r="H121" s="71">
        <v>108.91372886213814</v>
      </c>
      <c r="I121" s="71">
        <v>10.891372886213814</v>
      </c>
      <c r="J121" s="71">
        <v>23.454667048820099</v>
      </c>
      <c r="K121" s="71">
        <v>33.032387503582683</v>
      </c>
      <c r="L121" s="71">
        <v>13.876946594057513</v>
      </c>
      <c r="M121" s="71">
        <v>18.271711092003436</v>
      </c>
      <c r="N121" s="71">
        <v>10.748065348237317</v>
      </c>
      <c r="O121" s="72" t="s">
        <v>8</v>
      </c>
      <c r="P121" s="18" t="s">
        <v>108</v>
      </c>
    </row>
    <row r="122" spans="1:16" x14ac:dyDescent="0.3">
      <c r="A122" s="50" t="s">
        <v>308</v>
      </c>
      <c r="B122" s="193" t="s">
        <v>88</v>
      </c>
      <c r="C122" s="94">
        <v>532.41138817235128</v>
      </c>
      <c r="D122" s="94">
        <v>529.11531479889186</v>
      </c>
      <c r="E122" s="94">
        <v>500.78819145887064</v>
      </c>
      <c r="F122" s="94">
        <v>576.86060953472827</v>
      </c>
      <c r="G122" s="94">
        <v>495.91573516766982</v>
      </c>
      <c r="H122" s="94">
        <v>476.61698672016803</v>
      </c>
      <c r="I122" s="94">
        <v>385.59281551542944</v>
      </c>
      <c r="J122" s="94">
        <v>406.32463934269595</v>
      </c>
      <c r="K122" s="94">
        <v>425.40842648323297</v>
      </c>
      <c r="L122" s="94">
        <v>402.21648992070322</v>
      </c>
      <c r="M122" s="94">
        <v>349.78981561096782</v>
      </c>
      <c r="N122" s="94">
        <v>341.14359415305239</v>
      </c>
      <c r="O122" s="72" t="s">
        <v>8</v>
      </c>
      <c r="P122" s="18" t="s">
        <v>108</v>
      </c>
    </row>
    <row r="123" spans="1:16" x14ac:dyDescent="0.3">
      <c r="A123" s="24" t="s">
        <v>102</v>
      </c>
      <c r="B123" s="25" t="s">
        <v>103</v>
      </c>
      <c r="C123" s="87">
        <f>IFERROR((C108+C109+C110+C112+C113+C115+C116+C117+C118+C119+C120+C121)/C122,"")</f>
        <v>0.99999999999999978</v>
      </c>
      <c r="D123" s="87">
        <f t="shared" ref="D123:N123" si="3">IFERROR((D108+D109+D110+D112+D113+D115+D116+D117+D118+D119+D120+D121)/D122,"")</f>
        <v>0.9990069065137902</v>
      </c>
      <c r="E123" s="87">
        <f t="shared" si="3"/>
        <v>0.99971383602804409</v>
      </c>
      <c r="F123" s="87">
        <f t="shared" si="3"/>
        <v>1.0000414044385557</v>
      </c>
      <c r="G123" s="87">
        <f t="shared" si="3"/>
        <v>1.0000481625969273</v>
      </c>
      <c r="H123" s="87">
        <f t="shared" si="3"/>
        <v>0.99979954898521695</v>
      </c>
      <c r="I123" s="87">
        <f t="shared" si="3"/>
        <v>1.0001238850346876</v>
      </c>
      <c r="J123" s="87">
        <f t="shared" si="3"/>
        <v>1.0000000000000004</v>
      </c>
      <c r="K123" s="87">
        <f t="shared" si="3"/>
        <v>1</v>
      </c>
      <c r="L123" s="87">
        <f t="shared" si="3"/>
        <v>0.99999999999999989</v>
      </c>
      <c r="M123" s="87">
        <f t="shared" si="3"/>
        <v>0.99986343461932392</v>
      </c>
      <c r="N123" s="87">
        <f t="shared" si="3"/>
        <v>1.0001400266050551</v>
      </c>
      <c r="O123" s="52"/>
      <c r="P123" s="52"/>
    </row>
    <row r="124" spans="1:16" x14ac:dyDescent="0.3">
      <c r="A124" s="49"/>
      <c r="B124" s="49"/>
      <c r="C124" s="87">
        <f>IFERROR((C107+C111+C114+C119+C120+C121)/C122,"")</f>
        <v>0.99999999999999978</v>
      </c>
      <c r="D124" s="87">
        <f t="shared" ref="D124:N124" si="4">IFERROR((D107+D111+D114+D119+D120+D121)/D122,"")</f>
        <v>0.9990069065137902</v>
      </c>
      <c r="E124" s="87">
        <f t="shared" si="4"/>
        <v>0.99971383602804431</v>
      </c>
      <c r="F124" s="87">
        <f t="shared" si="4"/>
        <v>1.0000414044385557</v>
      </c>
      <c r="G124" s="87">
        <f t="shared" si="4"/>
        <v>1.0000481625969273</v>
      </c>
      <c r="H124" s="87">
        <f t="shared" si="4"/>
        <v>0.99979954898521695</v>
      </c>
      <c r="I124" s="87">
        <f t="shared" si="4"/>
        <v>1.0001238850346876</v>
      </c>
      <c r="J124" s="87">
        <f t="shared" si="4"/>
        <v>1.0000000000000004</v>
      </c>
      <c r="K124" s="87">
        <f t="shared" si="4"/>
        <v>1</v>
      </c>
      <c r="L124" s="87">
        <f t="shared" si="4"/>
        <v>0.99999999999999967</v>
      </c>
      <c r="M124" s="87">
        <f t="shared" si="4"/>
        <v>0.99986343461932392</v>
      </c>
      <c r="N124" s="87">
        <f t="shared" si="4"/>
        <v>1.0001400266050551</v>
      </c>
      <c r="O124" s="52"/>
      <c r="P124" s="52"/>
    </row>
    <row r="125" spans="1:16" ht="15.6" x14ac:dyDescent="0.3">
      <c r="A125" s="8" t="s">
        <v>309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2"/>
      <c r="P125" s="52"/>
    </row>
    <row r="126" spans="1:16" x14ac:dyDescent="0.3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2"/>
      <c r="P126" s="52"/>
    </row>
    <row r="127" spans="1:16" x14ac:dyDescent="0.3">
      <c r="A127" s="49" t="s">
        <v>310</v>
      </c>
      <c r="B127" s="191" t="s">
        <v>88</v>
      </c>
      <c r="C127" s="71">
        <v>13.590331518104518</v>
      </c>
      <c r="D127" s="71">
        <v>6.5682621572561377</v>
      </c>
      <c r="E127" s="71">
        <v>7.5714149230916208</v>
      </c>
      <c r="F127" s="71">
        <v>10.676411579249068</v>
      </c>
      <c r="G127" s="71">
        <v>10.676411579249068</v>
      </c>
      <c r="H127" s="71">
        <v>10.604757810260818</v>
      </c>
      <c r="I127" s="71">
        <v>11.775102703735548</v>
      </c>
      <c r="J127" s="71">
        <v>4.0126110633419314</v>
      </c>
      <c r="K127" s="71">
        <v>2.0301901213337152</v>
      </c>
      <c r="L127" s="71">
        <v>11.894525652049298</v>
      </c>
      <c r="M127" s="71">
        <v>9.0044903028565972</v>
      </c>
      <c r="N127" s="71">
        <v>7.2131460781503769</v>
      </c>
      <c r="O127" s="72"/>
      <c r="P127" s="72"/>
    </row>
    <row r="128" spans="1:16" x14ac:dyDescent="0.3">
      <c r="A128" s="64" t="s">
        <v>298</v>
      </c>
      <c r="B128" s="192" t="s">
        <v>88</v>
      </c>
      <c r="C128" s="71">
        <v>5.0635330085029135</v>
      </c>
      <c r="D128" s="71">
        <v>0</v>
      </c>
      <c r="E128" s="71">
        <v>1.0031527658354829</v>
      </c>
      <c r="F128" s="71">
        <v>5.0635330085029135</v>
      </c>
      <c r="G128" s="71">
        <v>5.0635330085029135</v>
      </c>
      <c r="H128" s="71">
        <v>4.0364956530046809</v>
      </c>
      <c r="I128" s="71">
        <v>5.0635330085029135</v>
      </c>
      <c r="J128" s="71">
        <v>1.8629979936944683</v>
      </c>
      <c r="K128" s="71">
        <v>2.0301901213337152</v>
      </c>
      <c r="L128" s="71">
        <v>3.9409572943536828</v>
      </c>
      <c r="M128" s="71">
        <v>2.4362281456004586</v>
      </c>
      <c r="N128" s="71">
        <v>3.0333428871691983</v>
      </c>
      <c r="O128" s="72" t="s">
        <v>8</v>
      </c>
      <c r="P128" s="18" t="s">
        <v>108</v>
      </c>
    </row>
    <row r="129" spans="1:16" x14ac:dyDescent="0.3">
      <c r="A129" s="64" t="s">
        <v>110</v>
      </c>
      <c r="B129" s="192" t="s">
        <v>88</v>
      </c>
      <c r="C129" s="71">
        <v>8.5267985096016048</v>
      </c>
      <c r="D129" s="71">
        <v>6.5682621572561377</v>
      </c>
      <c r="E129" s="71">
        <v>6.5682621572561377</v>
      </c>
      <c r="F129" s="71">
        <v>5.6128785707461546</v>
      </c>
      <c r="G129" s="71">
        <v>5.6128785707461546</v>
      </c>
      <c r="H129" s="71">
        <v>6.5682621572561377</v>
      </c>
      <c r="I129" s="71">
        <v>5.6128785707461546</v>
      </c>
      <c r="J129" s="71">
        <v>0</v>
      </c>
      <c r="K129" s="71">
        <v>0</v>
      </c>
      <c r="L129" s="71">
        <v>5.8039552880481509</v>
      </c>
      <c r="M129" s="71">
        <v>5.7561861087226518</v>
      </c>
      <c r="N129" s="71">
        <v>3.6782268080634375</v>
      </c>
      <c r="O129" s="72" t="s">
        <v>8</v>
      </c>
      <c r="P129" s="18" t="s">
        <v>108</v>
      </c>
    </row>
    <row r="130" spans="1:16" x14ac:dyDescent="0.3">
      <c r="A130" s="64" t="s">
        <v>299</v>
      </c>
      <c r="B130" s="192" t="s">
        <v>88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1.0986911244864812</v>
      </c>
      <c r="J130" s="71">
        <v>2.1496130696474633</v>
      </c>
      <c r="K130" s="71">
        <v>0</v>
      </c>
      <c r="L130" s="71">
        <v>2.1496130696474633</v>
      </c>
      <c r="M130" s="71">
        <v>0.81207604853348614</v>
      </c>
      <c r="N130" s="71">
        <v>0.50157638291774143</v>
      </c>
      <c r="O130" s="72" t="s">
        <v>8</v>
      </c>
      <c r="P130" s="18" t="s">
        <v>108</v>
      </c>
    </row>
    <row r="131" spans="1:16" x14ac:dyDescent="0.3">
      <c r="A131" s="49" t="s">
        <v>311</v>
      </c>
      <c r="B131" s="191" t="s">
        <v>88</v>
      </c>
      <c r="C131" s="71">
        <v>26.225279449699052</v>
      </c>
      <c r="D131" s="71">
        <v>26.010318142734306</v>
      </c>
      <c r="E131" s="71">
        <v>22.093245438043372</v>
      </c>
      <c r="F131" s="71">
        <v>25.413203401165568</v>
      </c>
      <c r="G131" s="71">
        <v>22.093245438043372</v>
      </c>
      <c r="H131" s="71">
        <v>22.236552976019873</v>
      </c>
      <c r="I131" s="71">
        <v>24.147320149039839</v>
      </c>
      <c r="J131" s="71">
        <v>23.478551638482848</v>
      </c>
      <c r="K131" s="71">
        <v>26.058087322059805</v>
      </c>
      <c r="L131" s="71">
        <v>24.744434890608577</v>
      </c>
      <c r="M131" s="71">
        <v>30.285659692366483</v>
      </c>
      <c r="N131" s="71">
        <v>25.962548963408807</v>
      </c>
      <c r="O131" s="72"/>
      <c r="P131" s="58"/>
    </row>
    <row r="132" spans="1:16" x14ac:dyDescent="0.3">
      <c r="A132" s="64" t="s">
        <v>301</v>
      </c>
      <c r="B132" s="192" t="s">
        <v>88</v>
      </c>
      <c r="C132" s="71">
        <v>26.225279449699052</v>
      </c>
      <c r="D132" s="71">
        <v>26.010318142734306</v>
      </c>
      <c r="E132" s="71">
        <v>22.093245438043372</v>
      </c>
      <c r="F132" s="71">
        <v>25.413203401165568</v>
      </c>
      <c r="G132" s="71">
        <v>22.093245438043372</v>
      </c>
      <c r="H132" s="71">
        <v>22.236552976019873</v>
      </c>
      <c r="I132" s="71">
        <v>24.147320149039839</v>
      </c>
      <c r="J132" s="71">
        <v>23.478551638482848</v>
      </c>
      <c r="K132" s="71">
        <v>26.058087322059805</v>
      </c>
      <c r="L132" s="71">
        <v>24.744434890608577</v>
      </c>
      <c r="M132" s="71">
        <v>30.285659692366483</v>
      </c>
      <c r="N132" s="71">
        <v>25.962548963408807</v>
      </c>
      <c r="O132" s="72" t="s">
        <v>8</v>
      </c>
      <c r="P132" s="18" t="s">
        <v>108</v>
      </c>
    </row>
    <row r="133" spans="1:16" x14ac:dyDescent="0.3">
      <c r="A133" s="64" t="s">
        <v>302</v>
      </c>
      <c r="B133" s="192" t="s">
        <v>88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2" t="s">
        <v>8</v>
      </c>
      <c r="P133" s="18" t="s">
        <v>108</v>
      </c>
    </row>
    <row r="134" spans="1:16" x14ac:dyDescent="0.3">
      <c r="A134" s="49" t="s">
        <v>312</v>
      </c>
      <c r="B134" s="191" t="s">
        <v>88</v>
      </c>
      <c r="C134" s="71">
        <v>0.64488392089423896</v>
      </c>
      <c r="D134" s="71">
        <v>0.64488392089423896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2"/>
      <c r="P134" s="58"/>
    </row>
    <row r="135" spans="1:16" x14ac:dyDescent="0.3">
      <c r="A135" s="64" t="s">
        <v>114</v>
      </c>
      <c r="B135" s="192" t="s">
        <v>88</v>
      </c>
      <c r="C135" s="71">
        <v>0.64488392089423896</v>
      </c>
      <c r="D135" s="71">
        <v>0.64488392089423896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2" t="s">
        <v>8</v>
      </c>
      <c r="P135" s="18" t="s">
        <v>108</v>
      </c>
    </row>
    <row r="136" spans="1:16" x14ac:dyDescent="0.3">
      <c r="A136" s="64" t="s">
        <v>313</v>
      </c>
      <c r="B136" s="192" t="s">
        <v>88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2" t="s">
        <v>8</v>
      </c>
      <c r="P136" s="18" t="s">
        <v>108</v>
      </c>
    </row>
    <row r="137" spans="1:16" x14ac:dyDescent="0.3">
      <c r="A137" s="64" t="s">
        <v>116</v>
      </c>
      <c r="B137" s="192" t="s">
        <v>88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2" t="s">
        <v>8</v>
      </c>
      <c r="P137" s="18" t="s">
        <v>108</v>
      </c>
    </row>
    <row r="138" spans="1:16" x14ac:dyDescent="0.3">
      <c r="A138" s="64" t="s">
        <v>117</v>
      </c>
      <c r="B138" s="192" t="s">
        <v>88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2" t="s">
        <v>8</v>
      </c>
      <c r="P138" s="18" t="s">
        <v>108</v>
      </c>
    </row>
    <row r="139" spans="1:16" x14ac:dyDescent="0.3">
      <c r="A139" s="49" t="s">
        <v>314</v>
      </c>
      <c r="B139" s="191" t="s">
        <v>88</v>
      </c>
      <c r="C139" s="71">
        <v>4.6813795738989201</v>
      </c>
      <c r="D139" s="71">
        <v>5.0874175981656631</v>
      </c>
      <c r="E139" s="71">
        <v>2.9378045285181997</v>
      </c>
      <c r="F139" s="71">
        <v>2.6511894525652049</v>
      </c>
      <c r="G139" s="71">
        <v>2.7228432215534535</v>
      </c>
      <c r="H139" s="71">
        <v>3.2960733734594436</v>
      </c>
      <c r="I139" s="71">
        <v>3.3438425527849431</v>
      </c>
      <c r="J139" s="71">
        <v>3.0333428871691983</v>
      </c>
      <c r="K139" s="71">
        <v>2.8900353491927007</v>
      </c>
      <c r="L139" s="71">
        <v>2.6273048629024554</v>
      </c>
      <c r="M139" s="71">
        <v>2.9855737078436992</v>
      </c>
      <c r="N139" s="71">
        <v>2.6034202732397058</v>
      </c>
      <c r="O139" s="72" t="s">
        <v>8</v>
      </c>
      <c r="P139" s="18" t="s">
        <v>108</v>
      </c>
    </row>
    <row r="140" spans="1:16" x14ac:dyDescent="0.3">
      <c r="A140" s="49" t="s">
        <v>315</v>
      </c>
      <c r="B140" s="191" t="s">
        <v>88</v>
      </c>
      <c r="C140" s="71">
        <v>23.908474252412343</v>
      </c>
      <c r="D140" s="71">
        <v>22.785898538263112</v>
      </c>
      <c r="E140" s="71">
        <v>27.610585650138528</v>
      </c>
      <c r="F140" s="71">
        <v>24.768319480271327</v>
      </c>
      <c r="G140" s="71">
        <v>27.347855163848283</v>
      </c>
      <c r="H140" s="71">
        <v>27.610585650138528</v>
      </c>
      <c r="I140" s="71">
        <v>27.51504729148753</v>
      </c>
      <c r="J140" s="71">
        <v>26.559663704977549</v>
      </c>
      <c r="K140" s="71">
        <v>24.935511607910573</v>
      </c>
      <c r="L140" s="71">
        <v>25.580395528804814</v>
      </c>
      <c r="M140" s="71">
        <v>26.655202063628547</v>
      </c>
      <c r="N140" s="71">
        <v>28.876468902264257</v>
      </c>
      <c r="O140" s="72" t="s">
        <v>8</v>
      </c>
      <c r="P140" s="18" t="s">
        <v>108</v>
      </c>
    </row>
    <row r="141" spans="1:16" x14ac:dyDescent="0.3">
      <c r="A141" s="49" t="s">
        <v>316</v>
      </c>
      <c r="B141" s="191" t="s">
        <v>88</v>
      </c>
      <c r="C141" s="71">
        <v>0.38215343460399348</v>
      </c>
      <c r="D141" s="71">
        <v>0.35826884494124389</v>
      </c>
      <c r="E141" s="71">
        <v>0.42992261392949266</v>
      </c>
      <c r="F141" s="71">
        <v>0.50157638291774143</v>
      </c>
      <c r="G141" s="71">
        <v>0.64488392089423896</v>
      </c>
      <c r="H141" s="71">
        <v>0.71653768988248778</v>
      </c>
      <c r="I141" s="71">
        <v>0.19107671730199674</v>
      </c>
      <c r="J141" s="71">
        <v>0.38215343460399348</v>
      </c>
      <c r="K141" s="71">
        <v>0.47769179325499184</v>
      </c>
      <c r="L141" s="71">
        <v>0.74042227954523732</v>
      </c>
      <c r="M141" s="71">
        <v>1.9346517626827171</v>
      </c>
      <c r="N141" s="71">
        <v>1.409190790102226</v>
      </c>
      <c r="O141" s="72" t="s">
        <v>8</v>
      </c>
      <c r="P141" s="18" t="s">
        <v>108</v>
      </c>
    </row>
    <row r="142" spans="1:16" x14ac:dyDescent="0.3">
      <c r="A142" s="50" t="s">
        <v>317</v>
      </c>
      <c r="B142" s="193" t="s">
        <v>88</v>
      </c>
      <c r="C142" s="74">
        <v>69.432502149613072</v>
      </c>
      <c r="D142" s="74">
        <v>61.455049202254699</v>
      </c>
      <c r="E142" s="74">
        <v>60.642973153721215</v>
      </c>
      <c r="F142" s="74">
        <v>64.01070029616892</v>
      </c>
      <c r="G142" s="74">
        <v>63.485239323588409</v>
      </c>
      <c r="H142" s="74">
        <v>64.46450749976114</v>
      </c>
      <c r="I142" s="74">
        <v>66.972389414349848</v>
      </c>
      <c r="J142" s="74">
        <v>57.46632272857552</v>
      </c>
      <c r="K142" s="74">
        <v>56.391516193751784</v>
      </c>
      <c r="L142" s="74">
        <v>65.58708321391039</v>
      </c>
      <c r="M142" s="74">
        <v>70.865577529378044</v>
      </c>
      <c r="N142" s="74">
        <v>66.064775007165366</v>
      </c>
      <c r="O142" s="72" t="s">
        <v>8</v>
      </c>
      <c r="P142" s="18" t="s">
        <v>108</v>
      </c>
    </row>
    <row r="143" spans="1:16" x14ac:dyDescent="0.3">
      <c r="A143" s="24" t="s">
        <v>102</v>
      </c>
      <c r="B143" s="25" t="s">
        <v>103</v>
      </c>
      <c r="C143" s="31">
        <f t="shared" ref="C143:N143" si="5">IFERROR((C128+C129+C130+C132+C133+C135+C136+C137+C138+C139+C140+C141)/C142,"")</f>
        <v>1</v>
      </c>
      <c r="D143" s="31">
        <f t="shared" si="5"/>
        <v>1</v>
      </c>
      <c r="E143" s="31">
        <f t="shared" si="5"/>
        <v>1</v>
      </c>
      <c r="F143" s="31">
        <f t="shared" si="5"/>
        <v>1</v>
      </c>
      <c r="G143" s="31">
        <f t="shared" si="5"/>
        <v>1</v>
      </c>
      <c r="H143" s="31">
        <f t="shared" si="5"/>
        <v>1</v>
      </c>
      <c r="I143" s="31">
        <f t="shared" si="5"/>
        <v>1</v>
      </c>
      <c r="J143" s="31">
        <f t="shared" si="5"/>
        <v>1</v>
      </c>
      <c r="K143" s="31">
        <f t="shared" si="5"/>
        <v>1</v>
      </c>
      <c r="L143" s="31">
        <f t="shared" si="5"/>
        <v>1</v>
      </c>
      <c r="M143" s="31">
        <f t="shared" si="5"/>
        <v>1</v>
      </c>
      <c r="N143" s="31">
        <f t="shared" si="5"/>
        <v>1</v>
      </c>
      <c r="O143" s="25"/>
      <c r="P143" s="52"/>
    </row>
    <row r="144" spans="1:16" x14ac:dyDescent="0.3">
      <c r="A144" s="24"/>
      <c r="B144" s="25"/>
      <c r="C144" s="31">
        <f t="shared" ref="C144:N144" si="6">IFERROR((C127+C131+C134+C139+C140+C141)/C142,"")</f>
        <v>1</v>
      </c>
      <c r="D144" s="31">
        <f t="shared" si="6"/>
        <v>1</v>
      </c>
      <c r="E144" s="31">
        <f t="shared" si="6"/>
        <v>1</v>
      </c>
      <c r="F144" s="31">
        <f t="shared" si="6"/>
        <v>1</v>
      </c>
      <c r="G144" s="31">
        <f t="shared" si="6"/>
        <v>1</v>
      </c>
      <c r="H144" s="31">
        <f t="shared" si="6"/>
        <v>1</v>
      </c>
      <c r="I144" s="31">
        <f t="shared" si="6"/>
        <v>1</v>
      </c>
      <c r="J144" s="31">
        <f t="shared" si="6"/>
        <v>1</v>
      </c>
      <c r="K144" s="31">
        <f t="shared" si="6"/>
        <v>1</v>
      </c>
      <c r="L144" s="31">
        <f t="shared" si="6"/>
        <v>1</v>
      </c>
      <c r="M144" s="31">
        <f t="shared" si="6"/>
        <v>1</v>
      </c>
      <c r="N144" s="31">
        <f t="shared" si="6"/>
        <v>1</v>
      </c>
      <c r="O144" s="25"/>
      <c r="P144" s="52"/>
    </row>
    <row r="145" spans="1:16" ht="15.6" x14ac:dyDescent="0.3">
      <c r="A145" s="8" t="s">
        <v>318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52"/>
    </row>
    <row r="146" spans="1:16" x14ac:dyDescent="0.3">
      <c r="A146" s="49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52"/>
    </row>
    <row r="147" spans="1:16" x14ac:dyDescent="0.3">
      <c r="A147" s="49" t="s">
        <v>319</v>
      </c>
      <c r="B147" s="191" t="s">
        <v>88</v>
      </c>
      <c r="C147" s="71">
        <v>0</v>
      </c>
      <c r="D147" s="71">
        <v>1</v>
      </c>
      <c r="E147" s="71">
        <v>1</v>
      </c>
      <c r="F147" s="71">
        <v>1</v>
      </c>
      <c r="G147" s="71">
        <v>0.93675360657303897</v>
      </c>
      <c r="H147" s="71">
        <v>0.93675360657303897</v>
      </c>
      <c r="I147" s="71">
        <v>0.93675360657303897</v>
      </c>
      <c r="J147" s="71">
        <v>0</v>
      </c>
      <c r="K147" s="71">
        <v>0</v>
      </c>
      <c r="L147" s="71">
        <v>1.1655679755421802</v>
      </c>
      <c r="M147" s="71">
        <v>1.6719212763924716</v>
      </c>
      <c r="N147" s="71">
        <v>0.59711474156873978</v>
      </c>
      <c r="O147" s="72"/>
      <c r="P147" s="52"/>
    </row>
    <row r="148" spans="1:16" x14ac:dyDescent="0.3">
      <c r="A148" s="64" t="s">
        <v>298</v>
      </c>
      <c r="B148" s="192" t="s">
        <v>88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4.7769179325499185E-2</v>
      </c>
      <c r="N148" s="71">
        <v>0</v>
      </c>
      <c r="O148" s="72" t="s">
        <v>8</v>
      </c>
      <c r="P148" s="18" t="s">
        <v>108</v>
      </c>
    </row>
    <row r="149" spans="1:16" x14ac:dyDescent="0.3">
      <c r="A149" s="64" t="s">
        <v>110</v>
      </c>
      <c r="B149" s="192" t="s">
        <v>88</v>
      </c>
      <c r="C149" s="71">
        <v>0</v>
      </c>
      <c r="D149" s="71">
        <v>0.93675360657303897</v>
      </c>
      <c r="E149" s="71">
        <v>0.93675360657303897</v>
      </c>
      <c r="F149" s="71">
        <v>0.93675360657303897</v>
      </c>
      <c r="G149" s="71">
        <v>0.93675360657303897</v>
      </c>
      <c r="H149" s="71">
        <v>0.93675360657303897</v>
      </c>
      <c r="I149" s="71">
        <v>0.93675360657303897</v>
      </c>
      <c r="J149" s="71">
        <v>0</v>
      </c>
      <c r="K149" s="71">
        <v>0</v>
      </c>
      <c r="L149" s="71">
        <v>0.94821820961115888</v>
      </c>
      <c r="M149" s="71">
        <v>1.6241520970669723</v>
      </c>
      <c r="N149" s="71">
        <v>0.47769179325499184</v>
      </c>
      <c r="O149" s="72" t="s">
        <v>8</v>
      </c>
      <c r="P149" s="18" t="s">
        <v>108</v>
      </c>
    </row>
    <row r="150" spans="1:16" x14ac:dyDescent="0.3">
      <c r="A150" s="64" t="s">
        <v>299</v>
      </c>
      <c r="B150" s="192" t="s">
        <v>88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0.21734976593102129</v>
      </c>
      <c r="M150" s="71">
        <v>0</v>
      </c>
      <c r="N150" s="71">
        <v>0.11942294831374796</v>
      </c>
      <c r="O150" s="72" t="s">
        <v>8</v>
      </c>
      <c r="P150" s="18" t="s">
        <v>108</v>
      </c>
    </row>
    <row r="151" spans="1:16" x14ac:dyDescent="0.3">
      <c r="A151" s="49" t="s">
        <v>320</v>
      </c>
      <c r="B151" s="191" t="s">
        <v>88</v>
      </c>
      <c r="C151" s="71">
        <v>3.6319020786407865</v>
      </c>
      <c r="D151" s="71">
        <v>2.235016663778945</v>
      </c>
      <c r="E151" s="71">
        <v>2.2565072086229736</v>
      </c>
      <c r="F151" s="71">
        <v>2.1705450292468598</v>
      </c>
      <c r="G151" s="71">
        <v>2.2565072086229736</v>
      </c>
      <c r="H151" s="71">
        <v>1.9341490359625486</v>
      </c>
      <c r="I151" s="71">
        <v>2.4069410225311718</v>
      </c>
      <c r="J151" s="71">
        <v>2.1060733947147758</v>
      </c>
      <c r="K151" s="71">
        <v>1.8949717727118853</v>
      </c>
      <c r="L151" s="71">
        <v>1.5688097736140676</v>
      </c>
      <c r="M151" s="71">
        <v>9.553835865099837E-2</v>
      </c>
      <c r="N151" s="71">
        <v>2.2690360179612115</v>
      </c>
      <c r="O151" s="72"/>
      <c r="P151" s="58"/>
    </row>
    <row r="152" spans="1:16" x14ac:dyDescent="0.3">
      <c r="A152" s="64" t="s">
        <v>301</v>
      </c>
      <c r="B152" s="192" t="s">
        <v>88</v>
      </c>
      <c r="C152" s="71">
        <v>3.6319020786407865</v>
      </c>
      <c r="D152" s="71">
        <v>2.235016663778945</v>
      </c>
      <c r="E152" s="71">
        <v>2.2565072086229736</v>
      </c>
      <c r="F152" s="71">
        <v>2.1705450292468598</v>
      </c>
      <c r="G152" s="71">
        <v>2.2565072086229736</v>
      </c>
      <c r="H152" s="71">
        <v>1.9341490359625486</v>
      </c>
      <c r="I152" s="71">
        <v>2.4069410225311718</v>
      </c>
      <c r="J152" s="71">
        <v>2.1060733947147758</v>
      </c>
      <c r="K152" s="71">
        <v>1.8949717727118853</v>
      </c>
      <c r="L152" s="71">
        <v>1.5688097736140676</v>
      </c>
      <c r="M152" s="71">
        <v>9.553835865099837E-2</v>
      </c>
      <c r="N152" s="71">
        <v>2.2690360179612115</v>
      </c>
      <c r="O152" s="72" t="s">
        <v>8</v>
      </c>
      <c r="P152" s="18" t="s">
        <v>108</v>
      </c>
    </row>
    <row r="153" spans="1:16" x14ac:dyDescent="0.3">
      <c r="A153" s="64" t="s">
        <v>302</v>
      </c>
      <c r="B153" s="192" t="s">
        <v>88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2" t="s">
        <v>8</v>
      </c>
      <c r="P153" s="18" t="s">
        <v>108</v>
      </c>
    </row>
    <row r="154" spans="1:16" x14ac:dyDescent="0.3">
      <c r="A154" s="49" t="s">
        <v>321</v>
      </c>
      <c r="B154" s="191" t="s">
        <v>88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2"/>
      <c r="P154" s="58"/>
    </row>
    <row r="155" spans="1:16" x14ac:dyDescent="0.3">
      <c r="A155" s="64" t="s">
        <v>114</v>
      </c>
      <c r="B155" s="192" t="s">
        <v>88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2" t="s">
        <v>8</v>
      </c>
      <c r="P155" s="18" t="s">
        <v>108</v>
      </c>
    </row>
    <row r="156" spans="1:16" x14ac:dyDescent="0.3">
      <c r="A156" s="64" t="s">
        <v>313</v>
      </c>
      <c r="B156" s="192" t="s">
        <v>88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2" t="s">
        <v>8</v>
      </c>
      <c r="P156" s="18" t="s">
        <v>108</v>
      </c>
    </row>
    <row r="157" spans="1:16" x14ac:dyDescent="0.3">
      <c r="A157" s="64" t="s">
        <v>116</v>
      </c>
      <c r="B157" s="192" t="s">
        <v>88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2" t="s">
        <v>8</v>
      </c>
      <c r="P157" s="18" t="s">
        <v>108</v>
      </c>
    </row>
    <row r="158" spans="1:16" x14ac:dyDescent="0.3">
      <c r="A158" s="64" t="s">
        <v>117</v>
      </c>
      <c r="B158" s="192" t="s">
        <v>88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2" t="s">
        <v>8</v>
      </c>
      <c r="P158" s="18" t="s">
        <v>108</v>
      </c>
    </row>
    <row r="159" spans="1:16" x14ac:dyDescent="0.3">
      <c r="A159" s="49" t="s">
        <v>322</v>
      </c>
      <c r="B159" s="191" t="s">
        <v>88</v>
      </c>
      <c r="C159" s="71">
        <v>5.4218018534441574</v>
      </c>
      <c r="D159" s="71">
        <v>2.2212668386357119</v>
      </c>
      <c r="E159" s="71">
        <v>2.2451514282984619</v>
      </c>
      <c r="F159" s="71">
        <v>1.1464603038119805</v>
      </c>
      <c r="G159" s="71">
        <v>1.5047291487532244</v>
      </c>
      <c r="H159" s="71">
        <v>1.6719212763924716</v>
      </c>
      <c r="I159" s="71">
        <v>1.6241520970669723</v>
      </c>
      <c r="J159" s="71">
        <v>1.5524983280787235</v>
      </c>
      <c r="K159" s="71">
        <v>1.5289999999999999</v>
      </c>
      <c r="L159" s="71">
        <v>1.5688097736140676</v>
      </c>
      <c r="M159" s="71">
        <v>5.1113021878284126</v>
      </c>
      <c r="N159" s="71">
        <v>1.6241520970669723</v>
      </c>
      <c r="O159" s="72" t="s">
        <v>8</v>
      </c>
      <c r="P159" s="18" t="s">
        <v>108</v>
      </c>
    </row>
    <row r="160" spans="1:16" x14ac:dyDescent="0.3">
      <c r="A160" s="49" t="s">
        <v>323</v>
      </c>
      <c r="B160" s="191" t="s">
        <v>88</v>
      </c>
      <c r="C160" s="71">
        <v>10.576096302665521</v>
      </c>
      <c r="D160" s="71">
        <v>10.662080825451419</v>
      </c>
      <c r="E160" s="71">
        <v>10.146173688736027</v>
      </c>
      <c r="F160" s="71">
        <v>9.5442820292347381</v>
      </c>
      <c r="G160" s="71">
        <v>9.8882201203783318</v>
      </c>
      <c r="H160" s="71">
        <v>8.4264832330180575</v>
      </c>
      <c r="I160" s="71">
        <v>6.3628546861564921</v>
      </c>
      <c r="J160" s="71">
        <v>4.9871023215821149</v>
      </c>
      <c r="K160" s="71">
        <v>5.2450000000000001</v>
      </c>
      <c r="L160" s="71">
        <v>4.5571797076526224</v>
      </c>
      <c r="M160" s="71">
        <v>1.6719212763924716</v>
      </c>
      <c r="N160" s="71">
        <v>6.3771854399541414</v>
      </c>
      <c r="O160" s="72" t="s">
        <v>8</v>
      </c>
      <c r="P160" s="18" t="s">
        <v>108</v>
      </c>
    </row>
    <row r="161" spans="1:16" x14ac:dyDescent="0.3">
      <c r="A161" s="49" t="s">
        <v>324</v>
      </c>
      <c r="B161" s="191" t="s">
        <v>88</v>
      </c>
      <c r="C161" s="71">
        <v>0.23884589662749592</v>
      </c>
      <c r="D161" s="71">
        <v>0.23884589662749592</v>
      </c>
      <c r="E161" s="71">
        <v>0.21496130696474633</v>
      </c>
      <c r="F161" s="71">
        <v>0.14330753797649756</v>
      </c>
      <c r="G161" s="71">
        <v>0.21496130696474633</v>
      </c>
      <c r="H161" s="71">
        <v>0.28661507595299512</v>
      </c>
      <c r="I161" s="71">
        <v>7.1653768988248781E-2</v>
      </c>
      <c r="J161" s="71">
        <v>0.14330753797649756</v>
      </c>
      <c r="K161" s="71">
        <v>0.12</v>
      </c>
      <c r="L161" s="71">
        <v>0.12419986624629789</v>
      </c>
      <c r="M161" s="71">
        <v>9.553835865099837E-2</v>
      </c>
      <c r="N161" s="71">
        <v>9.553835865099837E-2</v>
      </c>
      <c r="O161" s="72" t="s">
        <v>8</v>
      </c>
      <c r="P161" s="18" t="s">
        <v>108</v>
      </c>
    </row>
    <row r="162" spans="1:16" x14ac:dyDescent="0.3">
      <c r="A162" s="50" t="s">
        <v>325</v>
      </c>
      <c r="B162" s="193" t="s">
        <v>88</v>
      </c>
      <c r="C162" s="94">
        <v>19.87</v>
      </c>
      <c r="D162" s="94">
        <v>16.295000000000002</v>
      </c>
      <c r="E162" s="94">
        <v>15.8</v>
      </c>
      <c r="F162" s="94">
        <v>13.942</v>
      </c>
      <c r="G162" s="94">
        <v>14.802</v>
      </c>
      <c r="H162" s="94">
        <v>13.256</v>
      </c>
      <c r="I162" s="94">
        <v>11.403</v>
      </c>
      <c r="J162" s="94">
        <v>8.7899999999999991</v>
      </c>
      <c r="K162" s="94">
        <v>8.7889999999999997</v>
      </c>
      <c r="L162" s="94">
        <v>9.0160248304593917</v>
      </c>
      <c r="M162" s="94">
        <v>8.6462214579153525</v>
      </c>
      <c r="N162" s="94">
        <v>10.939142065539313</v>
      </c>
      <c r="O162" s="72" t="s">
        <v>8</v>
      </c>
      <c r="P162" s="18" t="s">
        <v>108</v>
      </c>
    </row>
    <row r="163" spans="1:16" x14ac:dyDescent="0.3">
      <c r="A163" s="24" t="s">
        <v>102</v>
      </c>
      <c r="B163" s="25" t="s">
        <v>103</v>
      </c>
      <c r="C163" s="87">
        <f>IFERROR((C148+C149+C150+C152+C153+C155+C156+C157+C158+C159+C160+C161)/C162,"")</f>
        <v>0.99993186368283626</v>
      </c>
      <c r="D163" s="87">
        <f t="shared" ref="D163:N163" si="7">IFERROR((D148+D149+D150+D152+D153+D155+D156+D157+D158+D159+D160+D161)/D162,"")</f>
        <v>0.99993641184821158</v>
      </c>
      <c r="E163" s="87">
        <f t="shared" si="7"/>
        <v>0.99997134425286371</v>
      </c>
      <c r="F163" s="87">
        <f t="shared" si="7"/>
        <v>0.99995327118369781</v>
      </c>
      <c r="G163" s="87">
        <f t="shared" si="7"/>
        <v>0.99994402048995501</v>
      </c>
      <c r="H163" s="87">
        <f t="shared" si="7"/>
        <v>0.9999941330642057</v>
      </c>
      <c r="I163" s="87">
        <f t="shared" si="7"/>
        <v>0.9999434518386322</v>
      </c>
      <c r="J163" s="87">
        <f t="shared" si="7"/>
        <v>0.99988413906167373</v>
      </c>
      <c r="K163" s="87">
        <f t="shared" si="7"/>
        <v>0.99999678833904704</v>
      </c>
      <c r="L163" s="87">
        <f t="shared" si="7"/>
        <v>0.99651090870070813</v>
      </c>
      <c r="M163" s="87">
        <f t="shared" si="7"/>
        <v>1</v>
      </c>
      <c r="N163" s="87">
        <f t="shared" si="7"/>
        <v>1.0021834061135371</v>
      </c>
      <c r="O163" s="72"/>
      <c r="P163" s="52"/>
    </row>
    <row r="164" spans="1:16" x14ac:dyDescent="0.3">
      <c r="A164" s="49"/>
      <c r="B164" s="49"/>
      <c r="C164" s="87">
        <f>IFERROR((C147+C151+C154+C159+C160+C161)/C162,"")</f>
        <v>0.99993186368283626</v>
      </c>
      <c r="D164" s="87">
        <f t="shared" ref="D164:N164" si="8">IFERROR((D147+D151+D154+D159+D160+D161)/D162,"")</f>
        <v>1.0038177492785252</v>
      </c>
      <c r="E164" s="87">
        <f t="shared" si="8"/>
        <v>1.0039742805457095</v>
      </c>
      <c r="F164" s="87">
        <f t="shared" si="8"/>
        <v>1.0044896643429977</v>
      </c>
      <c r="G164" s="87">
        <f t="shared" si="8"/>
        <v>0.99994402048995501</v>
      </c>
      <c r="H164" s="87">
        <f t="shared" si="8"/>
        <v>0.9999941330642057</v>
      </c>
      <c r="I164" s="87">
        <f t="shared" si="8"/>
        <v>0.9999434518386322</v>
      </c>
      <c r="J164" s="87">
        <f t="shared" si="8"/>
        <v>0.99988413906167373</v>
      </c>
      <c r="K164" s="87">
        <f t="shared" si="8"/>
        <v>0.99999678833904704</v>
      </c>
      <c r="L164" s="87">
        <f t="shared" si="8"/>
        <v>0.99651090870070813</v>
      </c>
      <c r="M164" s="87">
        <f t="shared" si="8"/>
        <v>1</v>
      </c>
      <c r="N164" s="87">
        <f t="shared" si="8"/>
        <v>1.0021834061135371</v>
      </c>
      <c r="O164" s="72"/>
      <c r="P164" s="52"/>
    </row>
    <row r="165" spans="1:16" ht="15.6" x14ac:dyDescent="0.3">
      <c r="A165" s="8" t="s">
        <v>326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72"/>
      <c r="P165" s="52"/>
    </row>
    <row r="166" spans="1:16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72"/>
      <c r="P166" s="52"/>
    </row>
    <row r="167" spans="1:16" x14ac:dyDescent="0.3">
      <c r="A167" s="49" t="s">
        <v>327</v>
      </c>
      <c r="B167" s="191" t="s">
        <v>88</v>
      </c>
      <c r="C167" s="71">
        <v>3.9791726378140821</v>
      </c>
      <c r="D167" s="71">
        <v>6.0619088564058465</v>
      </c>
      <c r="E167" s="71">
        <v>6.0619088564058465</v>
      </c>
      <c r="F167" s="71">
        <v>6.0619088564058465</v>
      </c>
      <c r="G167" s="71">
        <v>4.904461641349001</v>
      </c>
      <c r="H167" s="71">
        <v>5.9147797840833087</v>
      </c>
      <c r="I167" s="71">
        <v>5.8412152479220403</v>
      </c>
      <c r="J167" s="71">
        <v>4.041272570937231</v>
      </c>
      <c r="K167" s="71">
        <v>2.0206362854686155</v>
      </c>
      <c r="L167" s="71">
        <v>6.8840164325976865</v>
      </c>
      <c r="M167" s="71">
        <v>10.461450272284322</v>
      </c>
      <c r="N167" s="71">
        <v>7.4042227954523732</v>
      </c>
      <c r="O167" s="72"/>
      <c r="P167" s="52"/>
    </row>
    <row r="168" spans="1:16" x14ac:dyDescent="0.3">
      <c r="A168" s="64" t="s">
        <v>298</v>
      </c>
      <c r="B168" s="192" t="s">
        <v>88</v>
      </c>
      <c r="C168" s="71">
        <v>3.0309544282029233</v>
      </c>
      <c r="D168" s="71">
        <v>6.0619088564058465</v>
      </c>
      <c r="E168" s="71">
        <v>6.0619088564058465</v>
      </c>
      <c r="F168" s="71">
        <v>6.0619088564058465</v>
      </c>
      <c r="G168" s="71">
        <v>3.0309544282029233</v>
      </c>
      <c r="H168" s="71">
        <v>4.041272570937231</v>
      </c>
      <c r="I168" s="71">
        <v>3.0309544282029233</v>
      </c>
      <c r="J168" s="71">
        <v>4.041272570937231</v>
      </c>
      <c r="K168" s="71">
        <v>2.0206362854686155</v>
      </c>
      <c r="L168" s="71">
        <v>3.3340498710232156</v>
      </c>
      <c r="M168" s="71">
        <v>0.97926817617273332</v>
      </c>
      <c r="N168" s="71">
        <v>2.0301901213337152</v>
      </c>
      <c r="O168" s="72" t="s">
        <v>8</v>
      </c>
      <c r="P168" s="18" t="s">
        <v>108</v>
      </c>
    </row>
    <row r="169" spans="1:16" x14ac:dyDescent="0.3">
      <c r="A169" s="64" t="s">
        <v>110</v>
      </c>
      <c r="B169" s="192" t="s">
        <v>88</v>
      </c>
      <c r="C169" s="71">
        <v>0.94821820961115888</v>
      </c>
      <c r="D169" s="71">
        <v>0</v>
      </c>
      <c r="E169" s="71">
        <v>0</v>
      </c>
      <c r="F169" s="71">
        <v>0</v>
      </c>
      <c r="G169" s="71">
        <v>1.8735072131460779</v>
      </c>
      <c r="H169" s="71">
        <v>1.8735072131460779</v>
      </c>
      <c r="I169" s="71">
        <v>2.810260819719117</v>
      </c>
      <c r="J169" s="71">
        <v>0</v>
      </c>
      <c r="K169" s="71">
        <v>0</v>
      </c>
      <c r="L169" s="71">
        <v>3.2239419126779398</v>
      </c>
      <c r="M169" s="71">
        <v>7.4758765644406227</v>
      </c>
      <c r="N169" s="71">
        <v>4.8246871118754173</v>
      </c>
      <c r="O169" s="72" t="s">
        <v>8</v>
      </c>
      <c r="P169" s="18" t="s">
        <v>108</v>
      </c>
    </row>
    <row r="170" spans="1:16" x14ac:dyDescent="0.3">
      <c r="A170" s="64" t="s">
        <v>299</v>
      </c>
      <c r="B170" s="192" t="s">
        <v>88</v>
      </c>
      <c r="C170" s="71">
        <v>0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0.32602464889653193</v>
      </c>
      <c r="M170" s="71">
        <v>2.0063055316709657</v>
      </c>
      <c r="N170" s="71">
        <v>0.5493455622432406</v>
      </c>
      <c r="O170" s="72" t="s">
        <v>8</v>
      </c>
      <c r="P170" s="18" t="s">
        <v>108</v>
      </c>
    </row>
    <row r="171" spans="1:16" x14ac:dyDescent="0.3">
      <c r="A171" s="49" t="s">
        <v>328</v>
      </c>
      <c r="B171" s="191" t="s">
        <v>88</v>
      </c>
      <c r="C171" s="71">
        <v>8.9640000000000004</v>
      </c>
      <c r="D171" s="71">
        <v>7.6740000000000004</v>
      </c>
      <c r="E171" s="71">
        <v>7.1580000000000004</v>
      </c>
      <c r="F171" s="71">
        <v>7.5019999999999998</v>
      </c>
      <c r="G171" s="71">
        <v>8.1039999999999992</v>
      </c>
      <c r="H171" s="71">
        <v>8.0399999999999991</v>
      </c>
      <c r="I171" s="71">
        <v>9.5869999999999997</v>
      </c>
      <c r="J171" s="71">
        <v>9.4580000000000002</v>
      </c>
      <c r="K171" s="71">
        <v>9.4582975064488384</v>
      </c>
      <c r="L171" s="71">
        <v>12.378553830160312</v>
      </c>
      <c r="M171" s="71">
        <v>11.775102703735548</v>
      </c>
      <c r="N171" s="71">
        <v>10.533104041272571</v>
      </c>
      <c r="O171" s="72"/>
      <c r="P171" s="58"/>
    </row>
    <row r="172" spans="1:16" x14ac:dyDescent="0.3">
      <c r="A172" s="64" t="s">
        <v>301</v>
      </c>
      <c r="B172" s="192" t="s">
        <v>88</v>
      </c>
      <c r="C172" s="71">
        <v>8.9640000000000004</v>
      </c>
      <c r="D172" s="71">
        <v>7.6740000000000004</v>
      </c>
      <c r="E172" s="71">
        <v>7.1580000000000004</v>
      </c>
      <c r="F172" s="71">
        <v>7.5019999999999998</v>
      </c>
      <c r="G172" s="71">
        <v>8.1039999999999992</v>
      </c>
      <c r="H172" s="71">
        <v>8.0399999999999991</v>
      </c>
      <c r="I172" s="71">
        <v>9.5869999999999997</v>
      </c>
      <c r="J172" s="71">
        <v>9.4580000000000002</v>
      </c>
      <c r="K172" s="71">
        <v>9.4582975064488384</v>
      </c>
      <c r="L172" s="71">
        <v>12.378553830160312</v>
      </c>
      <c r="M172" s="71">
        <v>11.775102703735548</v>
      </c>
      <c r="N172" s="71">
        <v>10.533104041272571</v>
      </c>
      <c r="O172" s="72" t="s">
        <v>8</v>
      </c>
      <c r="P172" s="18" t="s">
        <v>108</v>
      </c>
    </row>
    <row r="173" spans="1:16" x14ac:dyDescent="0.3">
      <c r="A173" s="64" t="s">
        <v>302</v>
      </c>
      <c r="B173" s="192" t="s">
        <v>88</v>
      </c>
      <c r="C173" s="71">
        <v>0</v>
      </c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2" t="s">
        <v>8</v>
      </c>
      <c r="P173" s="18" t="s">
        <v>108</v>
      </c>
    </row>
    <row r="174" spans="1:16" x14ac:dyDescent="0.3">
      <c r="A174" s="49" t="s">
        <v>329</v>
      </c>
      <c r="B174" s="191" t="s">
        <v>88</v>
      </c>
      <c r="C174" s="71">
        <v>0</v>
      </c>
      <c r="D174" s="71">
        <v>0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0</v>
      </c>
      <c r="M174" s="71">
        <v>0</v>
      </c>
      <c r="N174" s="71">
        <v>0</v>
      </c>
      <c r="O174" s="72"/>
      <c r="P174" s="58"/>
    </row>
    <row r="175" spans="1:16" x14ac:dyDescent="0.3">
      <c r="A175" s="64" t="s">
        <v>114</v>
      </c>
      <c r="B175" s="192" t="s">
        <v>88</v>
      </c>
      <c r="C175" s="71">
        <v>0</v>
      </c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2" t="s">
        <v>8</v>
      </c>
      <c r="P175" s="18" t="s">
        <v>108</v>
      </c>
    </row>
    <row r="176" spans="1:16" x14ac:dyDescent="0.3">
      <c r="A176" s="64" t="s">
        <v>313</v>
      </c>
      <c r="B176" s="192" t="s">
        <v>88</v>
      </c>
      <c r="C176" s="71">
        <v>0</v>
      </c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2" t="s">
        <v>8</v>
      </c>
      <c r="P176" s="18" t="s">
        <v>108</v>
      </c>
    </row>
    <row r="177" spans="1:16" x14ac:dyDescent="0.3">
      <c r="A177" s="64" t="s">
        <v>116</v>
      </c>
      <c r="B177" s="192" t="s">
        <v>88</v>
      </c>
      <c r="C177" s="71">
        <v>0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2" t="s">
        <v>8</v>
      </c>
      <c r="P177" s="18" t="s">
        <v>108</v>
      </c>
    </row>
    <row r="178" spans="1:16" x14ac:dyDescent="0.3">
      <c r="A178" s="64" t="s">
        <v>117</v>
      </c>
      <c r="B178" s="192" t="s">
        <v>88</v>
      </c>
      <c r="C178" s="71">
        <v>0</v>
      </c>
      <c r="D178" s="71">
        <v>0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2" t="s">
        <v>8</v>
      </c>
      <c r="P178" s="18" t="s">
        <v>108</v>
      </c>
    </row>
    <row r="179" spans="1:16" x14ac:dyDescent="0.3">
      <c r="A179" s="49" t="s">
        <v>330</v>
      </c>
      <c r="B179" s="191" t="s">
        <v>88</v>
      </c>
      <c r="C179" s="71">
        <v>1.815228814368969</v>
      </c>
      <c r="D179" s="71">
        <v>3.0572274768319478</v>
      </c>
      <c r="E179" s="71">
        <v>1.1464603038119805</v>
      </c>
      <c r="F179" s="71">
        <v>0.95538358650998367</v>
      </c>
      <c r="G179" s="71">
        <v>1.0986911244864812</v>
      </c>
      <c r="H179" s="71">
        <v>1.2419986624629789</v>
      </c>
      <c r="I179" s="71">
        <v>1.8629979936944683</v>
      </c>
      <c r="J179" s="71">
        <v>1.4808445590904749</v>
      </c>
      <c r="K179" s="71">
        <v>1.6241520970669723</v>
      </c>
      <c r="L179" s="71">
        <v>1.5524983280787235</v>
      </c>
      <c r="M179" s="71">
        <v>1.3136524314512277</v>
      </c>
      <c r="N179" s="71">
        <v>1.122575714149231</v>
      </c>
      <c r="O179" s="72" t="s">
        <v>8</v>
      </c>
      <c r="P179" s="18" t="s">
        <v>108</v>
      </c>
    </row>
    <row r="180" spans="1:16" x14ac:dyDescent="0.3">
      <c r="A180" s="49" t="s">
        <v>331</v>
      </c>
      <c r="B180" s="191" t="s">
        <v>88</v>
      </c>
      <c r="C180" s="71">
        <v>23.903697334479794</v>
      </c>
      <c r="D180" s="71">
        <v>24.935511607910573</v>
      </c>
      <c r="E180" s="71">
        <v>26.999140154772142</v>
      </c>
      <c r="F180" s="71">
        <v>29.148753224419604</v>
      </c>
      <c r="G180" s="71">
        <v>31.384350816852965</v>
      </c>
      <c r="H180" s="71">
        <v>32.158211521926056</v>
      </c>
      <c r="I180" s="71">
        <v>35.425623387790196</v>
      </c>
      <c r="J180" s="71">
        <v>42.896723034298269</v>
      </c>
      <c r="K180" s="71">
        <v>46.35</v>
      </c>
      <c r="L180" s="71">
        <v>48.357695614789336</v>
      </c>
      <c r="M180" s="71">
        <v>49.871023215821147</v>
      </c>
      <c r="N180" s="71">
        <v>44.664182669341741</v>
      </c>
      <c r="O180" s="72" t="s">
        <v>8</v>
      </c>
      <c r="P180" s="18" t="s">
        <v>108</v>
      </c>
    </row>
    <row r="181" spans="1:16" x14ac:dyDescent="0.3">
      <c r="A181" s="49" t="s">
        <v>332</v>
      </c>
      <c r="B181" s="191" t="s">
        <v>88</v>
      </c>
      <c r="C181" s="71">
        <v>76.167956434508454</v>
      </c>
      <c r="D181" s="71">
        <v>81.112066494697615</v>
      </c>
      <c r="E181" s="71">
        <v>57.633514856214767</v>
      </c>
      <c r="F181" s="71">
        <v>72.083691602178277</v>
      </c>
      <c r="G181" s="71">
        <v>76.215725613833953</v>
      </c>
      <c r="H181" s="71">
        <v>83.596063819623581</v>
      </c>
      <c r="I181" s="71">
        <v>5.1829559568166612</v>
      </c>
      <c r="J181" s="71">
        <v>3.5826884494124389</v>
      </c>
      <c r="K181" s="71">
        <v>6.3289999999999997</v>
      </c>
      <c r="L181" s="71">
        <v>3.8215343460399347</v>
      </c>
      <c r="M181" s="71">
        <v>9.0761440718448458</v>
      </c>
      <c r="N181" s="71">
        <v>5.7800706983854013</v>
      </c>
      <c r="O181" s="72" t="s">
        <v>8</v>
      </c>
      <c r="P181" s="18" t="s">
        <v>108</v>
      </c>
    </row>
    <row r="182" spans="1:16" x14ac:dyDescent="0.3">
      <c r="A182" s="50" t="s">
        <v>333</v>
      </c>
      <c r="B182" s="193" t="s">
        <v>88</v>
      </c>
      <c r="C182" s="94">
        <v>115.04605470982482</v>
      </c>
      <c r="D182" s="94">
        <v>123.08609996518416</v>
      </c>
      <c r="E182" s="94">
        <v>98.92731622369925</v>
      </c>
      <c r="F182" s="94">
        <v>115.7826253219288</v>
      </c>
      <c r="G182" s="94">
        <v>121.70727046909334</v>
      </c>
      <c r="H182" s="94">
        <v>131</v>
      </c>
      <c r="I182" s="94">
        <v>57.842484901313888</v>
      </c>
      <c r="J182" s="94">
        <v>61.478933791917449</v>
      </c>
      <c r="K182" s="94">
        <v>66.563788382535591</v>
      </c>
      <c r="L182" s="94">
        <v>72.900000000000006</v>
      </c>
      <c r="M182" s="94">
        <v>82.497372695137088</v>
      </c>
      <c r="N182" s="94">
        <v>69.480271328938571</v>
      </c>
      <c r="O182" s="72" t="s">
        <v>8</v>
      </c>
      <c r="P182" s="18" t="s">
        <v>108</v>
      </c>
    </row>
    <row r="183" spans="1:16" x14ac:dyDescent="0.3">
      <c r="A183" s="24" t="s">
        <v>102</v>
      </c>
      <c r="B183" s="25" t="s">
        <v>103</v>
      </c>
      <c r="C183" s="87">
        <f>IFERROR((C168+C169+C170+C172+C173+C175+C176+C177+C178+C179+C180+C181)/C182,"")</f>
        <v>0.99812249547193677</v>
      </c>
      <c r="D183" s="87">
        <f>IFERROR((D168+D169+D170+D172+D173+D175+D176+D177+D178+D179+D180+D181)/D182,"")</f>
        <v>0.99800639122201784</v>
      </c>
      <c r="E183" s="87">
        <f t="shared" ref="E183:N183" si="9">IFERROR((E168+E169+E170+E172+E173+E175+E176+E177+E178+E179+E180+E181)/E182,"")</f>
        <v>1.0007248548757084</v>
      </c>
      <c r="F183" s="87">
        <f t="shared" si="9"/>
        <v>0.99973322376885809</v>
      </c>
      <c r="G183" s="87">
        <f t="shared" si="9"/>
        <v>0.99999966088656178</v>
      </c>
      <c r="H183" s="87">
        <f t="shared" si="9"/>
        <v>0.9996263647946253</v>
      </c>
      <c r="I183" s="87">
        <f t="shared" si="9"/>
        <v>1.000990754200952</v>
      </c>
      <c r="J183" s="87">
        <f t="shared" si="9"/>
        <v>0.99968436052836063</v>
      </c>
      <c r="K183" s="87">
        <f t="shared" si="9"/>
        <v>0.98825634008300733</v>
      </c>
      <c r="L183" s="87">
        <f t="shared" si="9"/>
        <v>1.0012935329446637</v>
      </c>
      <c r="M183" s="87">
        <f t="shared" si="9"/>
        <v>1.0000000000000002</v>
      </c>
      <c r="N183" s="87">
        <f t="shared" si="9"/>
        <v>1.0003437607425232</v>
      </c>
      <c r="O183" s="49"/>
      <c r="P183" s="49"/>
    </row>
    <row r="184" spans="1:16" x14ac:dyDescent="0.3">
      <c r="A184" s="49"/>
      <c r="B184" s="49"/>
      <c r="C184" s="87">
        <f>IFERROR((C167+C171+C174+C179+C180+C181)/C182,"")</f>
        <v>0.99812249547193677</v>
      </c>
      <c r="D184" s="87">
        <f>IFERROR((D167+D171+D174+D179+D180+D181)/D182,"")</f>
        <v>0.99800639122201784</v>
      </c>
      <c r="E184" s="87">
        <f t="shared" ref="E184:N184" si="10">IFERROR((E167+E171+E174+E179+E180+E181)/E182,"")</f>
        <v>1.0007248548757084</v>
      </c>
      <c r="F184" s="87">
        <f t="shared" si="10"/>
        <v>0.99973322376885809</v>
      </c>
      <c r="G184" s="87">
        <f t="shared" si="10"/>
        <v>0.99999966088656178</v>
      </c>
      <c r="H184" s="87">
        <f t="shared" si="10"/>
        <v>0.9996263647946253</v>
      </c>
      <c r="I184" s="87">
        <f t="shared" si="10"/>
        <v>1.000990754200952</v>
      </c>
      <c r="J184" s="87">
        <f t="shared" si="10"/>
        <v>0.99968436052836063</v>
      </c>
      <c r="K184" s="87">
        <f t="shared" si="10"/>
        <v>0.98825634008300733</v>
      </c>
      <c r="L184" s="87">
        <f t="shared" si="10"/>
        <v>1.0012935329446637</v>
      </c>
      <c r="M184" s="87">
        <f t="shared" si="10"/>
        <v>1.0000000000000002</v>
      </c>
      <c r="N184" s="87">
        <f t="shared" si="10"/>
        <v>1.0003437607425232</v>
      </c>
      <c r="O184" s="49"/>
      <c r="P184" s="49"/>
    </row>
    <row r="185" spans="1:16" x14ac:dyDescent="0.3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1:16" ht="15.6" x14ac:dyDescent="0.3">
      <c r="A186" s="8" t="s">
        <v>334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 x14ac:dyDescent="0.3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1:16" x14ac:dyDescent="0.3">
      <c r="A188" s="49" t="s">
        <v>335</v>
      </c>
      <c r="B188" s="191" t="s">
        <v>88</v>
      </c>
      <c r="C188" s="71">
        <v>1.0103181427343078</v>
      </c>
      <c r="D188" s="71">
        <v>0</v>
      </c>
      <c r="E188" s="71"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0.31049966561574471</v>
      </c>
      <c r="M188" s="71">
        <v>0.23884589662749592</v>
      </c>
      <c r="N188" s="71">
        <v>0.21496130696474633</v>
      </c>
      <c r="O188" s="72"/>
      <c r="P188" s="52"/>
    </row>
    <row r="189" spans="1:16" x14ac:dyDescent="0.3">
      <c r="A189" s="64" t="s">
        <v>298</v>
      </c>
      <c r="B189" s="192" t="s">
        <v>88</v>
      </c>
      <c r="C189" s="71">
        <v>1.0103181427343078</v>
      </c>
      <c r="D189" s="71">
        <v>0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0.28661507595299512</v>
      </c>
      <c r="M189" s="71">
        <v>0.19107671730199674</v>
      </c>
      <c r="N189" s="71">
        <v>0.19107671730199674</v>
      </c>
      <c r="O189" s="72" t="s">
        <v>8</v>
      </c>
      <c r="P189" s="18" t="s">
        <v>108</v>
      </c>
    </row>
    <row r="190" spans="1:16" x14ac:dyDescent="0.3">
      <c r="A190" s="64" t="s">
        <v>110</v>
      </c>
      <c r="B190" s="192" t="s">
        <v>88</v>
      </c>
      <c r="C190" s="71">
        <v>0</v>
      </c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2" t="s">
        <v>8</v>
      </c>
      <c r="P190" s="18" t="s">
        <v>108</v>
      </c>
    </row>
    <row r="191" spans="1:16" x14ac:dyDescent="0.3">
      <c r="A191" s="64" t="s">
        <v>299</v>
      </c>
      <c r="B191" s="192" t="s">
        <v>88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2.3884589662749593E-2</v>
      </c>
      <c r="M191" s="71">
        <v>4.7769179325499185E-2</v>
      </c>
      <c r="N191" s="71">
        <v>2.3884589662749593E-2</v>
      </c>
      <c r="O191" s="72" t="s">
        <v>8</v>
      </c>
      <c r="P191" s="18" t="s">
        <v>108</v>
      </c>
    </row>
    <row r="192" spans="1:16" x14ac:dyDescent="0.3">
      <c r="A192" s="49" t="s">
        <v>336</v>
      </c>
      <c r="B192" s="191" t="s">
        <v>88</v>
      </c>
      <c r="C192" s="71">
        <v>28.775844822448359</v>
      </c>
      <c r="D192" s="71">
        <v>28.375767906831413</v>
      </c>
      <c r="E192" s="71">
        <v>26.396526313108488</v>
      </c>
      <c r="F192" s="71">
        <v>25.923624375902961</v>
      </c>
      <c r="G192" s="71">
        <v>21.108622833446692</v>
      </c>
      <c r="H192" s="71">
        <v>20.549738725840157</v>
      </c>
      <c r="I192" s="71">
        <v>23.345456990308609</v>
      </c>
      <c r="J192" s="71">
        <v>22.1567517341932</v>
      </c>
      <c r="K192" s="71">
        <v>26.645997608841654</v>
      </c>
      <c r="L192" s="71">
        <v>26.440240756663798</v>
      </c>
      <c r="M192" s="71">
        <v>26.941817139581541</v>
      </c>
      <c r="N192" s="71">
        <v>24.051781790388841</v>
      </c>
      <c r="O192" s="72"/>
      <c r="P192" s="58"/>
    </row>
    <row r="193" spans="1:16" x14ac:dyDescent="0.3">
      <c r="A193" s="64" t="s">
        <v>301</v>
      </c>
      <c r="B193" s="192" t="s">
        <v>88</v>
      </c>
      <c r="C193" s="71">
        <v>28.775844822448359</v>
      </c>
      <c r="D193" s="71">
        <v>28.375767906831413</v>
      </c>
      <c r="E193" s="71">
        <v>26.396526313108488</v>
      </c>
      <c r="F193" s="71">
        <v>25.923624375902961</v>
      </c>
      <c r="G193" s="71">
        <v>21.108622833446692</v>
      </c>
      <c r="H193" s="71">
        <v>20.549738725840157</v>
      </c>
      <c r="I193" s="71">
        <v>23.345456990308609</v>
      </c>
      <c r="J193" s="71">
        <v>22.1567517341932</v>
      </c>
      <c r="K193" s="71">
        <v>26.645997608841654</v>
      </c>
      <c r="L193" s="71">
        <v>26.440240756663798</v>
      </c>
      <c r="M193" s="71">
        <v>26.941817139581541</v>
      </c>
      <c r="N193" s="71">
        <v>24.051781790388841</v>
      </c>
      <c r="O193" s="72" t="s">
        <v>8</v>
      </c>
      <c r="P193" s="18" t="s">
        <v>108</v>
      </c>
    </row>
    <row r="194" spans="1:16" x14ac:dyDescent="0.3">
      <c r="A194" s="64" t="s">
        <v>302</v>
      </c>
      <c r="B194" s="192" t="s">
        <v>88</v>
      </c>
      <c r="C194" s="71">
        <v>0</v>
      </c>
      <c r="D194" s="71">
        <v>0</v>
      </c>
      <c r="E194" s="71">
        <v>0</v>
      </c>
      <c r="F194" s="71">
        <v>0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2" t="s">
        <v>8</v>
      </c>
      <c r="P194" s="18" t="s">
        <v>108</v>
      </c>
    </row>
    <row r="195" spans="1:16" x14ac:dyDescent="0.3">
      <c r="A195" s="49" t="s">
        <v>337</v>
      </c>
      <c r="B195" s="191" t="s">
        <v>88</v>
      </c>
      <c r="C195" s="71">
        <v>0</v>
      </c>
      <c r="D195" s="71">
        <v>0</v>
      </c>
      <c r="E195" s="71">
        <v>0</v>
      </c>
      <c r="F195" s="71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2"/>
      <c r="P195" s="58"/>
    </row>
    <row r="196" spans="1:16" x14ac:dyDescent="0.3">
      <c r="A196" s="64" t="s">
        <v>114</v>
      </c>
      <c r="B196" s="192" t="s">
        <v>88</v>
      </c>
      <c r="C196" s="71">
        <v>0</v>
      </c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2" t="s">
        <v>8</v>
      </c>
      <c r="P196" s="18" t="s">
        <v>108</v>
      </c>
    </row>
    <row r="197" spans="1:16" x14ac:dyDescent="0.3">
      <c r="A197" s="64" t="s">
        <v>313</v>
      </c>
      <c r="B197" s="192" t="s">
        <v>88</v>
      </c>
      <c r="C197" s="71">
        <v>0</v>
      </c>
      <c r="D197" s="71">
        <v>0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  <c r="L197" s="71">
        <v>0</v>
      </c>
      <c r="M197" s="71">
        <v>0</v>
      </c>
      <c r="N197" s="71">
        <v>0</v>
      </c>
      <c r="O197" s="72" t="s">
        <v>8</v>
      </c>
      <c r="P197" s="18" t="s">
        <v>108</v>
      </c>
    </row>
    <row r="198" spans="1:16" x14ac:dyDescent="0.3">
      <c r="A198" s="64" t="s">
        <v>116</v>
      </c>
      <c r="B198" s="192" t="s">
        <v>88</v>
      </c>
      <c r="C198" s="71">
        <v>0</v>
      </c>
      <c r="D198" s="71">
        <v>0</v>
      </c>
      <c r="E198" s="71">
        <v>0</v>
      </c>
      <c r="F198" s="71">
        <v>0</v>
      </c>
      <c r="G198" s="71">
        <v>0</v>
      </c>
      <c r="H198" s="71">
        <v>0</v>
      </c>
      <c r="I198" s="71">
        <v>0</v>
      </c>
      <c r="J198" s="71">
        <v>0</v>
      </c>
      <c r="K198" s="71">
        <v>0</v>
      </c>
      <c r="L198" s="71">
        <v>0</v>
      </c>
      <c r="M198" s="71">
        <v>0</v>
      </c>
      <c r="N198" s="71">
        <v>0</v>
      </c>
      <c r="O198" s="72" t="s">
        <v>8</v>
      </c>
      <c r="P198" s="18" t="s">
        <v>108</v>
      </c>
    </row>
    <row r="199" spans="1:16" x14ac:dyDescent="0.3">
      <c r="A199" s="64" t="s">
        <v>117</v>
      </c>
      <c r="B199" s="192" t="s">
        <v>88</v>
      </c>
      <c r="C199" s="71">
        <v>0</v>
      </c>
      <c r="D199" s="71">
        <v>0.48982516480366861</v>
      </c>
      <c r="E199" s="71">
        <v>0</v>
      </c>
      <c r="F199" s="71">
        <v>0</v>
      </c>
      <c r="G199" s="71">
        <v>0</v>
      </c>
      <c r="H199" s="71">
        <v>0</v>
      </c>
      <c r="I199" s="71">
        <v>0</v>
      </c>
      <c r="J199" s="71">
        <v>0</v>
      </c>
      <c r="K199" s="71">
        <v>0</v>
      </c>
      <c r="L199" s="71">
        <v>0</v>
      </c>
      <c r="M199" s="71">
        <v>0</v>
      </c>
      <c r="N199" s="71">
        <v>0</v>
      </c>
      <c r="O199" s="72" t="s">
        <v>8</v>
      </c>
      <c r="P199" s="18" t="s">
        <v>108</v>
      </c>
    </row>
    <row r="200" spans="1:16" x14ac:dyDescent="0.3">
      <c r="A200" s="49" t="s">
        <v>338</v>
      </c>
      <c r="B200" s="191" t="s">
        <v>88</v>
      </c>
      <c r="C200" s="71">
        <v>0.62099933123148943</v>
      </c>
      <c r="D200" s="71">
        <v>0.47769179325499184</v>
      </c>
      <c r="E200" s="71">
        <v>0.71653768988248778</v>
      </c>
      <c r="F200" s="71">
        <v>0.47769179325499184</v>
      </c>
      <c r="G200" s="71">
        <v>0.59711474156873978</v>
      </c>
      <c r="H200" s="71">
        <v>0.64488392089423896</v>
      </c>
      <c r="I200" s="71">
        <v>0.9076144071844845</v>
      </c>
      <c r="J200" s="71">
        <v>0.83596063819623578</v>
      </c>
      <c r="K200" s="71">
        <v>0.69265310021973814</v>
      </c>
      <c r="L200" s="71">
        <v>0.76430686920798696</v>
      </c>
      <c r="M200" s="71">
        <v>0.59711474156873978</v>
      </c>
      <c r="N200" s="71">
        <v>0.52546097258049107</v>
      </c>
      <c r="O200" s="72" t="s">
        <v>8</v>
      </c>
      <c r="P200" s="18" t="s">
        <v>108</v>
      </c>
    </row>
    <row r="201" spans="1:16" x14ac:dyDescent="0.3">
      <c r="A201" s="49" t="s">
        <v>339</v>
      </c>
      <c r="B201" s="191" t="s">
        <v>88</v>
      </c>
      <c r="C201" s="71">
        <v>30.18056749785039</v>
      </c>
      <c r="D201" s="71">
        <v>28.976784178847808</v>
      </c>
      <c r="E201" s="71">
        <v>31.298366294067069</v>
      </c>
      <c r="F201" s="71">
        <v>30.524505588993978</v>
      </c>
      <c r="G201" s="71">
        <v>31.556319862424765</v>
      </c>
      <c r="H201" s="71">
        <v>31.728288907996561</v>
      </c>
      <c r="I201" s="71">
        <v>34.651762682717106</v>
      </c>
      <c r="J201" s="71">
        <v>42.218400687876183</v>
      </c>
      <c r="K201" s="71">
        <v>41.444539982803093</v>
      </c>
      <c r="L201" s="71">
        <v>30.476736409668479</v>
      </c>
      <c r="M201" s="71">
        <v>30.954428202923474</v>
      </c>
      <c r="N201" s="71">
        <v>32.889079965606186</v>
      </c>
      <c r="O201" s="72" t="s">
        <v>8</v>
      </c>
      <c r="P201" s="18" t="s">
        <v>108</v>
      </c>
    </row>
    <row r="202" spans="1:16" x14ac:dyDescent="0.3">
      <c r="A202" s="49" t="s">
        <v>340</v>
      </c>
      <c r="B202" s="191" t="s">
        <v>88</v>
      </c>
      <c r="C202" s="71">
        <v>6.7593388745581349</v>
      </c>
      <c r="D202" s="71">
        <v>5.7084169293971527</v>
      </c>
      <c r="E202" s="71">
        <v>5.039648418840164</v>
      </c>
      <c r="F202" s="71">
        <v>4.08426483233018</v>
      </c>
      <c r="G202" s="71">
        <v>6.0666857743383966</v>
      </c>
      <c r="H202" s="71">
        <v>6.7354542848953853</v>
      </c>
      <c r="I202" s="71">
        <v>2.7706124008789526</v>
      </c>
      <c r="J202" s="71">
        <v>7.1653768988248778</v>
      </c>
      <c r="K202" s="71">
        <v>8.2162988439858609</v>
      </c>
      <c r="L202" s="71">
        <v>4.0603802426674305</v>
      </c>
      <c r="M202" s="71">
        <v>4.2753415496321772</v>
      </c>
      <c r="N202" s="71">
        <v>0.76430686920798696</v>
      </c>
      <c r="O202" s="72" t="s">
        <v>8</v>
      </c>
      <c r="P202" s="18" t="s">
        <v>108</v>
      </c>
    </row>
    <row r="203" spans="1:16" x14ac:dyDescent="0.3">
      <c r="A203" s="50" t="s">
        <v>341</v>
      </c>
      <c r="B203" s="193" t="s">
        <v>88</v>
      </c>
      <c r="C203" s="94">
        <v>67.347068668822686</v>
      </c>
      <c r="D203" s="94">
        <v>64.028485973135034</v>
      </c>
      <c r="E203" s="94">
        <v>63.451078715898213</v>
      </c>
      <c r="F203" s="94">
        <v>61.010086590482103</v>
      </c>
      <c r="G203" s="94">
        <v>59.328743211778594</v>
      </c>
      <c r="H203" s="94">
        <v>59.658365839626335</v>
      </c>
      <c r="I203" s="94">
        <v>61.675446481089146</v>
      </c>
      <c r="J203" s="94">
        <v>72.376489959090506</v>
      </c>
      <c r="K203" s="94">
        <v>77</v>
      </c>
      <c r="L203" s="94">
        <v>62.076048533486194</v>
      </c>
      <c r="M203" s="94">
        <v>63.007547530333426</v>
      </c>
      <c r="N203" s="94">
        <v>58.469475494411</v>
      </c>
      <c r="O203" s="72" t="s">
        <v>8</v>
      </c>
      <c r="P203" s="18" t="s">
        <v>108</v>
      </c>
    </row>
    <row r="204" spans="1:16" x14ac:dyDescent="0.3">
      <c r="A204" s="24" t="s">
        <v>102</v>
      </c>
      <c r="B204" s="25" t="s">
        <v>103</v>
      </c>
      <c r="C204" s="87">
        <f t="shared" ref="C204:N204" si="11">IFERROR((C189+C190+C191+C193+C194+C196+C197+C198+C199+C200+C201+C202)/C203,"")</f>
        <v>1</v>
      </c>
      <c r="D204" s="87">
        <f t="shared" si="11"/>
        <v>1</v>
      </c>
      <c r="E204" s="87">
        <f t="shared" si="11"/>
        <v>1</v>
      </c>
      <c r="F204" s="87">
        <f t="shared" si="11"/>
        <v>1</v>
      </c>
      <c r="G204" s="87">
        <f t="shared" si="11"/>
        <v>0.99999999999999989</v>
      </c>
      <c r="H204" s="87">
        <f t="shared" si="11"/>
        <v>1.0000000000000002</v>
      </c>
      <c r="I204" s="87">
        <f t="shared" si="11"/>
        <v>1.0000000000000002</v>
      </c>
      <c r="J204" s="87">
        <f t="shared" si="11"/>
        <v>0.99999999999999978</v>
      </c>
      <c r="K204" s="87">
        <f t="shared" si="11"/>
        <v>0.99999337059545923</v>
      </c>
      <c r="L204" s="87">
        <f t="shared" si="11"/>
        <v>0.99961523662947271</v>
      </c>
      <c r="M204" s="87">
        <f t="shared" si="11"/>
        <v>1</v>
      </c>
      <c r="N204" s="87">
        <f t="shared" si="11"/>
        <v>0.99959150326797375</v>
      </c>
      <c r="O204" s="49"/>
      <c r="P204" s="49"/>
    </row>
    <row r="205" spans="1:16" x14ac:dyDescent="0.3">
      <c r="A205" s="49"/>
      <c r="B205" s="49"/>
      <c r="C205" s="87">
        <f t="shared" ref="C205:N205" si="12">IFERROR((C188+C192+C195+C200+C201+C202)/C203,"")</f>
        <v>1</v>
      </c>
      <c r="D205" s="87">
        <f t="shared" si="12"/>
        <v>0.99234988681429714</v>
      </c>
      <c r="E205" s="87">
        <f t="shared" si="12"/>
        <v>1</v>
      </c>
      <c r="F205" s="87">
        <f t="shared" si="12"/>
        <v>1</v>
      </c>
      <c r="G205" s="87">
        <f t="shared" si="12"/>
        <v>0.99999999999999989</v>
      </c>
      <c r="H205" s="87">
        <f t="shared" si="12"/>
        <v>1.0000000000000002</v>
      </c>
      <c r="I205" s="87">
        <f t="shared" si="12"/>
        <v>1.0000000000000002</v>
      </c>
      <c r="J205" s="87">
        <f t="shared" si="12"/>
        <v>0.99999999999999978</v>
      </c>
      <c r="K205" s="87">
        <f t="shared" si="12"/>
        <v>0.99999337059545923</v>
      </c>
      <c r="L205" s="87">
        <f t="shared" si="12"/>
        <v>0.99961523662947271</v>
      </c>
      <c r="M205" s="87">
        <f t="shared" si="12"/>
        <v>1</v>
      </c>
      <c r="N205" s="87">
        <f t="shared" si="12"/>
        <v>0.99959150326797375</v>
      </c>
      <c r="O205" s="49"/>
      <c r="P205" s="49"/>
    </row>
    <row r="206" spans="1:16" ht="15.6" x14ac:dyDescent="0.3">
      <c r="A206" s="8" t="s">
        <v>342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 spans="1:16" x14ac:dyDescent="0.3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1:16" x14ac:dyDescent="0.3">
      <c r="A208" s="49" t="s">
        <v>343</v>
      </c>
      <c r="B208" s="191" t="s">
        <v>88</v>
      </c>
      <c r="C208" s="71">
        <v>3.1838158020445206</v>
      </c>
      <c r="D208" s="71">
        <v>3.1838158020445206</v>
      </c>
      <c r="E208" s="71">
        <v>2.1734976593102129</v>
      </c>
      <c r="F208" s="71">
        <v>1.0867488296551064</v>
      </c>
      <c r="G208" s="71">
        <v>2.1734976593102129</v>
      </c>
      <c r="H208" s="71">
        <v>9.2457246584503672</v>
      </c>
      <c r="I208" s="71">
        <v>7.2250883729817517</v>
      </c>
      <c r="J208" s="71">
        <v>5.2044520875131361</v>
      </c>
      <c r="K208" s="71">
        <v>2.0970669723894142</v>
      </c>
      <c r="L208" s="71">
        <v>2.9664660361134993</v>
      </c>
      <c r="M208" s="71">
        <v>1.2897678417884779</v>
      </c>
      <c r="N208" s="71">
        <v>0.95538358650998367</v>
      </c>
      <c r="O208" s="72"/>
      <c r="P208" s="49"/>
    </row>
    <row r="209" spans="1:16" x14ac:dyDescent="0.3">
      <c r="A209" s="64" t="s">
        <v>298</v>
      </c>
      <c r="B209" s="192" t="s">
        <v>88</v>
      </c>
      <c r="C209" s="71">
        <v>1.0103181427343078</v>
      </c>
      <c r="D209" s="71">
        <v>1.0103181427343078</v>
      </c>
      <c r="E209" s="71">
        <v>0</v>
      </c>
      <c r="F209" s="71">
        <v>0</v>
      </c>
      <c r="G209" s="71">
        <v>0</v>
      </c>
      <c r="H209" s="71">
        <v>7.0722269991401552</v>
      </c>
      <c r="I209" s="71">
        <v>5.0515907136715388</v>
      </c>
      <c r="J209" s="71">
        <v>3.0309544282029233</v>
      </c>
      <c r="K209" s="71">
        <v>1.0103181427343078</v>
      </c>
      <c r="L209" s="71">
        <v>1.0103181427343078</v>
      </c>
      <c r="M209" s="71">
        <v>0.50157638291774143</v>
      </c>
      <c r="N209" s="71">
        <v>0.40603802426674307</v>
      </c>
      <c r="O209" s="72" t="s">
        <v>8</v>
      </c>
      <c r="P209" s="18" t="s">
        <v>108</v>
      </c>
    </row>
    <row r="210" spans="1:16" x14ac:dyDescent="0.3">
      <c r="A210" s="64" t="s">
        <v>110</v>
      </c>
      <c r="B210" s="192" t="s">
        <v>88</v>
      </c>
      <c r="C210" s="71">
        <v>0</v>
      </c>
      <c r="D210" s="71">
        <v>0</v>
      </c>
      <c r="E210" s="71">
        <v>0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2" t="s">
        <v>8</v>
      </c>
      <c r="P210" s="18" t="s">
        <v>108</v>
      </c>
    </row>
    <row r="211" spans="1:16" x14ac:dyDescent="0.3">
      <c r="A211" s="64" t="s">
        <v>299</v>
      </c>
      <c r="B211" s="192" t="s">
        <v>88</v>
      </c>
      <c r="C211" s="71">
        <v>2.1734976593102129</v>
      </c>
      <c r="D211" s="71">
        <v>2.1734976593102129</v>
      </c>
      <c r="E211" s="71">
        <v>2.1734976593102129</v>
      </c>
      <c r="F211" s="71">
        <v>1.0867488296551064</v>
      </c>
      <c r="G211" s="71">
        <v>2.1734976593102129</v>
      </c>
      <c r="H211" s="71">
        <v>2.1734976593102129</v>
      </c>
      <c r="I211" s="71">
        <v>2.1734976593102129</v>
      </c>
      <c r="J211" s="71">
        <v>2.1734976593102129</v>
      </c>
      <c r="K211" s="71">
        <v>1.0867488296551064</v>
      </c>
      <c r="L211" s="71">
        <v>1.9561478933791918</v>
      </c>
      <c r="M211" s="71">
        <v>0.78819145887073661</v>
      </c>
      <c r="N211" s="71">
        <v>0.5493455622432406</v>
      </c>
      <c r="O211" s="72" t="s">
        <v>8</v>
      </c>
      <c r="P211" s="18" t="s">
        <v>108</v>
      </c>
    </row>
    <row r="212" spans="1:16" x14ac:dyDescent="0.3">
      <c r="A212" s="49" t="s">
        <v>344</v>
      </c>
      <c r="B212" s="191" t="s">
        <v>88</v>
      </c>
      <c r="C212" s="71">
        <v>9.6707451798127444</v>
      </c>
      <c r="D212" s="71">
        <v>6.0818241908600141</v>
      </c>
      <c r="E212" s="71">
        <v>11.62638476061932</v>
      </c>
      <c r="F212" s="71">
        <v>36.469454600316062</v>
      </c>
      <c r="G212" s="71">
        <v>3.9972413409892678</v>
      </c>
      <c r="H212" s="71">
        <v>3.2904474059550539</v>
      </c>
      <c r="I212" s="71">
        <v>4.2766184239616365</v>
      </c>
      <c r="J212" s="71">
        <v>4.1261846100534374</v>
      </c>
      <c r="K212" s="71">
        <v>5.743111713573283</v>
      </c>
      <c r="L212" s="71">
        <v>4.9750611313925557</v>
      </c>
      <c r="M212" s="71">
        <v>3.0811120664946974</v>
      </c>
      <c r="N212" s="71">
        <v>5.1590713671539117</v>
      </c>
      <c r="O212" s="72"/>
      <c r="P212" s="58"/>
    </row>
    <row r="213" spans="1:16" x14ac:dyDescent="0.3">
      <c r="A213" s="64" t="s">
        <v>301</v>
      </c>
      <c r="B213" s="192" t="s">
        <v>88</v>
      </c>
      <c r="C213" s="71">
        <v>9.6707451798127444</v>
      </c>
      <c r="D213" s="71">
        <v>6.0818241908600141</v>
      </c>
      <c r="E213" s="71">
        <v>11.62638476061932</v>
      </c>
      <c r="F213" s="71">
        <v>36.469454600316062</v>
      </c>
      <c r="G213" s="71">
        <v>3.9972413409892678</v>
      </c>
      <c r="H213" s="71">
        <v>3.2665628162923044</v>
      </c>
      <c r="I213" s="71">
        <v>4.2766184239616365</v>
      </c>
      <c r="J213" s="71">
        <v>4.1261846100534374</v>
      </c>
      <c r="K213" s="71">
        <v>5.743111713573283</v>
      </c>
      <c r="L213" s="71">
        <v>4.9750611313925557</v>
      </c>
      <c r="M213" s="71">
        <v>3.0811120664946974</v>
      </c>
      <c r="N213" s="71">
        <v>5.1590713671539117</v>
      </c>
      <c r="O213" s="72" t="s">
        <v>8</v>
      </c>
      <c r="P213" s="18" t="s">
        <v>108</v>
      </c>
    </row>
    <row r="214" spans="1:16" x14ac:dyDescent="0.3">
      <c r="A214" s="64" t="s">
        <v>302</v>
      </c>
      <c r="B214" s="192" t="s">
        <v>88</v>
      </c>
      <c r="C214" s="71">
        <v>0</v>
      </c>
      <c r="D214" s="71">
        <v>0</v>
      </c>
      <c r="E214" s="71">
        <v>0</v>
      </c>
      <c r="F214" s="71">
        <v>0</v>
      </c>
      <c r="G214" s="71">
        <v>0</v>
      </c>
      <c r="H214" s="71">
        <v>2.3884589662749593E-2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2" t="s">
        <v>8</v>
      </c>
      <c r="P214" s="18" t="s">
        <v>108</v>
      </c>
    </row>
    <row r="215" spans="1:16" x14ac:dyDescent="0.3">
      <c r="A215" s="49" t="s">
        <v>345</v>
      </c>
      <c r="B215" s="191" t="s">
        <v>88</v>
      </c>
      <c r="C215" s="71">
        <v>0</v>
      </c>
      <c r="D215" s="71">
        <v>0</v>
      </c>
      <c r="E215" s="71">
        <v>0</v>
      </c>
      <c r="F215" s="71">
        <v>0</v>
      </c>
      <c r="G215" s="71">
        <v>0</v>
      </c>
      <c r="H215" s="71">
        <v>0</v>
      </c>
      <c r="I215" s="71">
        <v>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2"/>
      <c r="P215" s="58"/>
    </row>
    <row r="216" spans="1:16" x14ac:dyDescent="0.3">
      <c r="A216" s="64" t="s">
        <v>114</v>
      </c>
      <c r="B216" s="192" t="s">
        <v>88</v>
      </c>
      <c r="C216" s="71">
        <v>0</v>
      </c>
      <c r="D216" s="71">
        <v>0</v>
      </c>
      <c r="E216" s="71">
        <v>0</v>
      </c>
      <c r="F216" s="71">
        <v>0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1">
        <v>0</v>
      </c>
      <c r="M216" s="71">
        <v>0</v>
      </c>
      <c r="N216" s="71">
        <v>0</v>
      </c>
      <c r="O216" s="72" t="s">
        <v>8</v>
      </c>
      <c r="P216" s="18" t="s">
        <v>108</v>
      </c>
    </row>
    <row r="217" spans="1:16" x14ac:dyDescent="0.3">
      <c r="A217" s="64" t="s">
        <v>313</v>
      </c>
      <c r="B217" s="192" t="s">
        <v>88</v>
      </c>
      <c r="C217" s="71">
        <v>0</v>
      </c>
      <c r="D217" s="71">
        <v>0</v>
      </c>
      <c r="E217" s="71">
        <v>0</v>
      </c>
      <c r="F217" s="71">
        <v>0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1">
        <v>0</v>
      </c>
      <c r="M217" s="71">
        <v>0</v>
      </c>
      <c r="N217" s="71">
        <v>0</v>
      </c>
      <c r="O217" s="72" t="s">
        <v>8</v>
      </c>
      <c r="P217" s="18" t="s">
        <v>108</v>
      </c>
    </row>
    <row r="218" spans="1:16" x14ac:dyDescent="0.3">
      <c r="A218" s="64" t="s">
        <v>116</v>
      </c>
      <c r="B218" s="192" t="s">
        <v>88</v>
      </c>
      <c r="C218" s="71">
        <v>0</v>
      </c>
      <c r="D218" s="71">
        <v>0</v>
      </c>
      <c r="E218" s="71">
        <v>0</v>
      </c>
      <c r="F218" s="71">
        <v>0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2" t="s">
        <v>8</v>
      </c>
      <c r="P218" s="18" t="s">
        <v>108</v>
      </c>
    </row>
    <row r="219" spans="1:16" x14ac:dyDescent="0.3">
      <c r="A219" s="64" t="s">
        <v>117</v>
      </c>
      <c r="B219" s="192" t="s">
        <v>88</v>
      </c>
      <c r="C219" s="71">
        <v>0</v>
      </c>
      <c r="D219" s="71">
        <v>0</v>
      </c>
      <c r="E219" s="71">
        <v>0</v>
      </c>
      <c r="F219" s="71">
        <v>0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2" t="s">
        <v>8</v>
      </c>
      <c r="P219" s="18" t="s">
        <v>108</v>
      </c>
    </row>
    <row r="220" spans="1:16" x14ac:dyDescent="0.3">
      <c r="A220" s="49" t="s">
        <v>346</v>
      </c>
      <c r="B220" s="191" t="s">
        <v>88</v>
      </c>
      <c r="C220" s="71">
        <v>15.118945256520492</v>
      </c>
      <c r="D220" s="71">
        <v>14.378522976975255</v>
      </c>
      <c r="E220" s="71">
        <v>15.716059998089232</v>
      </c>
      <c r="F220" s="71">
        <v>15.23836820483424</v>
      </c>
      <c r="G220" s="71">
        <v>11.392949269131556</v>
      </c>
      <c r="H220" s="71">
        <v>17.937326836724946</v>
      </c>
      <c r="I220" s="71">
        <v>16.552020636285469</v>
      </c>
      <c r="J220" s="71">
        <v>17.196904557179707</v>
      </c>
      <c r="K220" s="71">
        <v>15.453329511798987</v>
      </c>
      <c r="L220" s="71">
        <v>14.569599694277251</v>
      </c>
      <c r="M220" s="71">
        <v>16.862520301901213</v>
      </c>
      <c r="N220" s="71">
        <v>19.537594344129168</v>
      </c>
      <c r="O220" s="72" t="s">
        <v>8</v>
      </c>
      <c r="P220" s="18" t="s">
        <v>108</v>
      </c>
    </row>
    <row r="221" spans="1:16" x14ac:dyDescent="0.3">
      <c r="A221" s="49" t="s">
        <v>347</v>
      </c>
      <c r="B221" s="191" t="s">
        <v>88</v>
      </c>
      <c r="C221" s="71">
        <v>21.668099742046433</v>
      </c>
      <c r="D221" s="71">
        <v>17.110920034393807</v>
      </c>
      <c r="E221" s="71">
        <v>17.024935511607911</v>
      </c>
      <c r="F221" s="71">
        <v>21.754084264832329</v>
      </c>
      <c r="G221" s="71">
        <v>12.98366294067068</v>
      </c>
      <c r="H221" s="71">
        <v>11.521926053310404</v>
      </c>
      <c r="I221" s="71">
        <v>9.8022355975924338</v>
      </c>
      <c r="J221" s="71">
        <v>9.8022355975924338</v>
      </c>
      <c r="K221" s="71">
        <v>9.9742046431642297</v>
      </c>
      <c r="L221" s="71">
        <v>12.055030094582973</v>
      </c>
      <c r="M221" s="71">
        <v>10.963026655202063</v>
      </c>
      <c r="N221" s="71">
        <v>10.748065348237317</v>
      </c>
      <c r="O221" s="72" t="s">
        <v>8</v>
      </c>
      <c r="P221" s="18" t="s">
        <v>108</v>
      </c>
    </row>
    <row r="222" spans="1:16" x14ac:dyDescent="0.3">
      <c r="A222" s="49" t="s">
        <v>348</v>
      </c>
      <c r="B222" s="191" t="s">
        <v>88</v>
      </c>
      <c r="C222" s="71">
        <v>0.21496130696474633</v>
      </c>
      <c r="D222" s="71">
        <v>2.3884589662749593E-2</v>
      </c>
      <c r="E222" s="71">
        <v>0</v>
      </c>
      <c r="F222" s="71">
        <v>2.3884589662749593E-2</v>
      </c>
      <c r="G222" s="71">
        <v>4.7769179325499185E-2</v>
      </c>
      <c r="H222" s="71">
        <v>0.11942294831374796</v>
      </c>
      <c r="I222" s="71">
        <v>0</v>
      </c>
      <c r="J222" s="71">
        <v>0</v>
      </c>
      <c r="K222" s="71">
        <v>0</v>
      </c>
      <c r="L222" s="71">
        <v>0.10986911244864812</v>
      </c>
      <c r="M222" s="71">
        <v>9.553835865099837E-2</v>
      </c>
      <c r="N222" s="71">
        <v>7.1653768988248781E-2</v>
      </c>
      <c r="O222" s="72" t="s">
        <v>8</v>
      </c>
      <c r="P222" s="18" t="s">
        <v>108</v>
      </c>
    </row>
    <row r="223" spans="1:16" x14ac:dyDescent="0.3">
      <c r="A223" s="50" t="s">
        <v>349</v>
      </c>
      <c r="B223" s="57" t="s">
        <v>88</v>
      </c>
      <c r="C223" s="71">
        <v>49.856567287388934</v>
      </c>
      <c r="D223" s="71">
        <v>40.778967593936351</v>
      </c>
      <c r="E223" s="71">
        <v>46.540877929626674</v>
      </c>
      <c r="F223" s="71">
        <v>74.572540489300494</v>
      </c>
      <c r="G223" s="71">
        <v>30.595120389427215</v>
      </c>
      <c r="H223" s="71">
        <v>42.114847902754526</v>
      </c>
      <c r="I223" s="71">
        <v>37.855963030821293</v>
      </c>
      <c r="J223" s="71">
        <v>36.329776852338718</v>
      </c>
      <c r="K223" s="71">
        <v>33.411020378902407</v>
      </c>
      <c r="L223" s="71">
        <v>34.676026068814934</v>
      </c>
      <c r="M223" s="71">
        <v>32.291965224037448</v>
      </c>
      <c r="N223" s="71">
        <v>36.447883825355881</v>
      </c>
      <c r="O223" s="72" t="s">
        <v>8</v>
      </c>
      <c r="P223" s="18" t="s">
        <v>108</v>
      </c>
    </row>
    <row r="224" spans="1:16" x14ac:dyDescent="0.3">
      <c r="A224" s="24" t="s">
        <v>102</v>
      </c>
      <c r="B224" s="25" t="s">
        <v>103</v>
      </c>
      <c r="C224" s="31">
        <f t="shared" ref="C224:N224" si="13">IFERROR((C209+C210+C211+C213+C214+C216+C217+C218+C219+C220+C221+C222)/C223,"")</f>
        <v>1</v>
      </c>
      <c r="D224" s="31">
        <f t="shared" si="13"/>
        <v>1</v>
      </c>
      <c r="E224" s="31">
        <f t="shared" si="13"/>
        <v>1</v>
      </c>
      <c r="F224" s="31">
        <f t="shared" si="13"/>
        <v>1</v>
      </c>
      <c r="G224" s="31">
        <f t="shared" si="13"/>
        <v>1</v>
      </c>
      <c r="H224" s="31">
        <f t="shared" si="13"/>
        <v>0.99999999999999978</v>
      </c>
      <c r="I224" s="31">
        <f t="shared" si="13"/>
        <v>1</v>
      </c>
      <c r="J224" s="31">
        <f t="shared" si="13"/>
        <v>1</v>
      </c>
      <c r="K224" s="31">
        <f t="shared" si="13"/>
        <v>0.99571077038799505</v>
      </c>
      <c r="L224" s="31">
        <f t="shared" si="13"/>
        <v>0.99999999999999978</v>
      </c>
      <c r="M224" s="31">
        <f t="shared" si="13"/>
        <v>1</v>
      </c>
      <c r="N224" s="31">
        <f t="shared" si="13"/>
        <v>1.0006553079947575</v>
      </c>
      <c r="O224" s="72"/>
      <c r="P224" s="49"/>
    </row>
    <row r="225" spans="1:16" x14ac:dyDescent="0.3">
      <c r="A225" s="49"/>
      <c r="B225" s="49"/>
      <c r="C225" s="31">
        <f t="shared" ref="C225:N225" si="14">IFERROR((C208+C212+C215+C220+C221+C222)/C223,"")</f>
        <v>1</v>
      </c>
      <c r="D225" s="31">
        <f t="shared" si="14"/>
        <v>1</v>
      </c>
      <c r="E225" s="31">
        <f t="shared" si="14"/>
        <v>1</v>
      </c>
      <c r="F225" s="31">
        <f t="shared" si="14"/>
        <v>1</v>
      </c>
      <c r="G225" s="31">
        <f t="shared" si="14"/>
        <v>1</v>
      </c>
      <c r="H225" s="31">
        <f t="shared" si="14"/>
        <v>0.99999999999999978</v>
      </c>
      <c r="I225" s="31">
        <f t="shared" si="14"/>
        <v>1</v>
      </c>
      <c r="J225" s="31">
        <f t="shared" si="14"/>
        <v>1</v>
      </c>
      <c r="K225" s="31">
        <f t="shared" si="14"/>
        <v>0.99571077038799505</v>
      </c>
      <c r="L225" s="31">
        <f t="shared" si="14"/>
        <v>0.99999999999999978</v>
      </c>
      <c r="M225" s="31">
        <f t="shared" si="14"/>
        <v>1</v>
      </c>
      <c r="N225" s="31">
        <f t="shared" si="14"/>
        <v>1.0006553079947575</v>
      </c>
      <c r="O225" s="72"/>
      <c r="P225" s="49"/>
    </row>
    <row r="226" spans="1:16" ht="15.6" x14ac:dyDescent="0.3">
      <c r="A226" s="8" t="s">
        <v>350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 spans="1:16" x14ac:dyDescent="0.3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 spans="1:16" x14ac:dyDescent="0.3">
      <c r="A228" s="49" t="s">
        <v>351</v>
      </c>
      <c r="B228" s="191" t="s">
        <v>88</v>
      </c>
      <c r="C228" s="71">
        <v>2.9855737078436988</v>
      </c>
      <c r="D228" s="71">
        <v>2.9616891181809493</v>
      </c>
      <c r="E228" s="71">
        <v>1.9346517626827171</v>
      </c>
      <c r="F228" s="71">
        <v>1.9346517626827171</v>
      </c>
      <c r="G228" s="71">
        <v>1.0031527658354829</v>
      </c>
      <c r="H228" s="71">
        <v>1.0031527658354829</v>
      </c>
      <c r="I228" s="71">
        <v>1.0031527658354829</v>
      </c>
      <c r="J228" s="71">
        <v>1.0031527658354829</v>
      </c>
      <c r="K228" s="71">
        <v>1.0031527658354829</v>
      </c>
      <c r="L228" s="71">
        <v>0.19107671730199674</v>
      </c>
      <c r="M228" s="71">
        <v>2.3884589662749593E-2</v>
      </c>
      <c r="N228" s="71">
        <v>2.3884589662749593E-2</v>
      </c>
      <c r="O228" s="72"/>
      <c r="P228" s="49"/>
    </row>
    <row r="229" spans="1:16" x14ac:dyDescent="0.3">
      <c r="A229" s="64" t="s">
        <v>298</v>
      </c>
      <c r="B229" s="192" t="s">
        <v>88</v>
      </c>
      <c r="C229" s="71">
        <v>2.0301901213337152</v>
      </c>
      <c r="D229" s="71">
        <v>2.0301901213337152</v>
      </c>
      <c r="E229" s="71">
        <v>1.0031527658354829</v>
      </c>
      <c r="F229" s="71">
        <v>1.0031527658354829</v>
      </c>
      <c r="G229" s="71">
        <v>1.0031527658354829</v>
      </c>
      <c r="H229" s="71">
        <v>1.0031527658354829</v>
      </c>
      <c r="I229" s="71">
        <v>1.0031527658354829</v>
      </c>
      <c r="J229" s="71">
        <v>1.0031527658354829</v>
      </c>
      <c r="K229" s="71">
        <v>1.0031527658354829</v>
      </c>
      <c r="L229" s="71">
        <v>0.19107671730199674</v>
      </c>
      <c r="M229" s="71">
        <v>2.3884589662749593E-2</v>
      </c>
      <c r="N229" s="71">
        <v>2.3884589662749593E-2</v>
      </c>
      <c r="O229" s="72" t="s">
        <v>8</v>
      </c>
      <c r="P229" s="18" t="s">
        <v>108</v>
      </c>
    </row>
    <row r="230" spans="1:16" x14ac:dyDescent="0.3">
      <c r="A230" s="64" t="s">
        <v>110</v>
      </c>
      <c r="B230" s="192" t="s">
        <v>88</v>
      </c>
      <c r="C230" s="71">
        <v>0.95538358650998367</v>
      </c>
      <c r="D230" s="71">
        <v>0.93149899684723414</v>
      </c>
      <c r="E230" s="71">
        <v>0.93149899684723414</v>
      </c>
      <c r="F230" s="71">
        <v>0.93149899684723414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2" t="s">
        <v>8</v>
      </c>
      <c r="P230" s="18" t="s">
        <v>108</v>
      </c>
    </row>
    <row r="231" spans="1:16" x14ac:dyDescent="0.3">
      <c r="A231" s="64" t="s">
        <v>299</v>
      </c>
      <c r="B231" s="192" t="s">
        <v>88</v>
      </c>
      <c r="C231" s="71">
        <v>0</v>
      </c>
      <c r="D231" s="71">
        <v>0</v>
      </c>
      <c r="E231" s="71">
        <v>0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2" t="s">
        <v>8</v>
      </c>
      <c r="P231" s="18" t="s">
        <v>108</v>
      </c>
    </row>
    <row r="232" spans="1:16" x14ac:dyDescent="0.3">
      <c r="A232" s="49" t="s">
        <v>352</v>
      </c>
      <c r="B232" s="191" t="s">
        <v>88</v>
      </c>
      <c r="C232" s="71">
        <v>18.056749785038694</v>
      </c>
      <c r="D232" s="71">
        <v>18.271711092003439</v>
      </c>
      <c r="E232" s="71">
        <v>20.779593006592147</v>
      </c>
      <c r="F232" s="71">
        <v>20.636285468615647</v>
      </c>
      <c r="G232" s="71">
        <v>16.743097353587466</v>
      </c>
      <c r="H232" s="71">
        <v>15.477214101461737</v>
      </c>
      <c r="I232" s="71">
        <v>17.483519633132701</v>
      </c>
      <c r="J232" s="71">
        <v>15.381675742810737</v>
      </c>
      <c r="K232" s="71">
        <v>17.125250788191458</v>
      </c>
      <c r="L232" s="71">
        <v>11.106334193178562</v>
      </c>
      <c r="M232" s="71">
        <v>9.529951275437087</v>
      </c>
      <c r="N232" s="71">
        <v>14.474061335626253</v>
      </c>
      <c r="O232" s="72"/>
      <c r="P232" s="58"/>
    </row>
    <row r="233" spans="1:16" x14ac:dyDescent="0.3">
      <c r="A233" s="64" t="s">
        <v>301</v>
      </c>
      <c r="B233" s="192" t="s">
        <v>88</v>
      </c>
      <c r="C233" s="71">
        <v>18.056749785038694</v>
      </c>
      <c r="D233" s="71">
        <v>18.271711092003439</v>
      </c>
      <c r="E233" s="71">
        <v>20.779593006592147</v>
      </c>
      <c r="F233" s="71">
        <v>20.636285468615647</v>
      </c>
      <c r="G233" s="71">
        <v>16.743097353587466</v>
      </c>
      <c r="H233" s="71">
        <v>15.477214101461737</v>
      </c>
      <c r="I233" s="71">
        <v>17.483519633132701</v>
      </c>
      <c r="J233" s="71">
        <v>15.381675742810737</v>
      </c>
      <c r="K233" s="71">
        <v>17.125250788191458</v>
      </c>
      <c r="L233" s="71">
        <v>11.106334193178562</v>
      </c>
      <c r="M233" s="71">
        <v>9.529951275437087</v>
      </c>
      <c r="N233" s="71">
        <v>14.474061335626253</v>
      </c>
      <c r="O233" s="72" t="s">
        <v>8</v>
      </c>
      <c r="P233" s="18" t="s">
        <v>108</v>
      </c>
    </row>
    <row r="234" spans="1:16" x14ac:dyDescent="0.3">
      <c r="A234" s="64" t="s">
        <v>302</v>
      </c>
      <c r="B234" s="192" t="s">
        <v>88</v>
      </c>
      <c r="C234" s="71">
        <v>0</v>
      </c>
      <c r="D234" s="71">
        <v>0</v>
      </c>
      <c r="E234" s="71">
        <v>0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0</v>
      </c>
      <c r="N234" s="71">
        <v>0</v>
      </c>
      <c r="O234" s="72" t="s">
        <v>8</v>
      </c>
      <c r="P234" s="18" t="s">
        <v>108</v>
      </c>
    </row>
    <row r="235" spans="1:16" x14ac:dyDescent="0.3">
      <c r="A235" s="49" t="s">
        <v>353</v>
      </c>
      <c r="B235" s="191" t="s">
        <v>88</v>
      </c>
      <c r="C235" s="71">
        <v>73.254036495652997</v>
      </c>
      <c r="D235" s="71">
        <v>88.014712907232251</v>
      </c>
      <c r="E235" s="71">
        <v>74.710996465080726</v>
      </c>
      <c r="F235" s="71">
        <v>124.84475016719213</v>
      </c>
      <c r="G235" s="71">
        <v>92.313939046527167</v>
      </c>
      <c r="H235" s="71">
        <v>48.055794401452175</v>
      </c>
      <c r="I235" s="71">
        <v>39.218496226234834</v>
      </c>
      <c r="J235" s="71">
        <v>54.313556893092567</v>
      </c>
      <c r="K235" s="71">
        <v>54.241903124104326</v>
      </c>
      <c r="L235" s="71">
        <v>64.273430782459144</v>
      </c>
      <c r="M235" s="71">
        <v>10.294258144645074</v>
      </c>
      <c r="N235" s="71">
        <v>4.7769179325499185E-2</v>
      </c>
      <c r="O235" s="72"/>
      <c r="P235" s="58"/>
    </row>
    <row r="236" spans="1:16" x14ac:dyDescent="0.3">
      <c r="A236" s="64" t="s">
        <v>114</v>
      </c>
      <c r="B236" s="192" t="s">
        <v>88</v>
      </c>
      <c r="C236" s="71">
        <v>29.186968567880001</v>
      </c>
      <c r="D236" s="71">
        <v>35.802999904461636</v>
      </c>
      <c r="E236" s="71">
        <v>33.199579631221937</v>
      </c>
      <c r="F236" s="71">
        <v>27.228432215534536</v>
      </c>
      <c r="G236" s="71">
        <v>41.511416833858789</v>
      </c>
      <c r="H236" s="71">
        <v>14.259100028661507</v>
      </c>
      <c r="I236" s="71">
        <v>12.969332186873029</v>
      </c>
      <c r="J236" s="71">
        <v>17.865673067736694</v>
      </c>
      <c r="K236" s="71">
        <v>23.120282793541605</v>
      </c>
      <c r="L236" s="71">
        <v>27.228432215534536</v>
      </c>
      <c r="M236" s="71">
        <v>5.1351867774911621</v>
      </c>
      <c r="N236" s="71">
        <v>0</v>
      </c>
      <c r="O236" s="72" t="s">
        <v>8</v>
      </c>
      <c r="P236" s="18" t="s">
        <v>108</v>
      </c>
    </row>
    <row r="237" spans="1:16" x14ac:dyDescent="0.3">
      <c r="A237" s="64" t="s">
        <v>313</v>
      </c>
      <c r="B237" s="192" t="s">
        <v>88</v>
      </c>
      <c r="C237" s="71">
        <v>44.067067927772996</v>
      </c>
      <c r="D237" s="71">
        <v>52.211713002770608</v>
      </c>
      <c r="E237" s="71">
        <v>41.511416833858789</v>
      </c>
      <c r="F237" s="71">
        <v>36.280691697716634</v>
      </c>
      <c r="G237" s="71">
        <v>33.916117321104423</v>
      </c>
      <c r="H237" s="71">
        <v>14.951753128881245</v>
      </c>
      <c r="I237" s="71">
        <v>9.7449125824018346</v>
      </c>
      <c r="J237" s="71">
        <v>19.991401547721409</v>
      </c>
      <c r="K237" s="71">
        <v>22.427629693321869</v>
      </c>
      <c r="L237" s="71">
        <v>19.871978599407662</v>
      </c>
      <c r="M237" s="71">
        <v>1.3853062004394763</v>
      </c>
      <c r="N237" s="71">
        <v>0</v>
      </c>
      <c r="O237" s="72" t="s">
        <v>8</v>
      </c>
      <c r="P237" s="18" t="s">
        <v>108</v>
      </c>
    </row>
    <row r="238" spans="1:16" x14ac:dyDescent="0.3">
      <c r="A238" s="64" t="s">
        <v>116</v>
      </c>
      <c r="B238" s="192" t="s">
        <v>88</v>
      </c>
      <c r="C238" s="71">
        <v>0</v>
      </c>
      <c r="D238" s="71">
        <v>0</v>
      </c>
      <c r="E238" s="71">
        <v>0</v>
      </c>
      <c r="F238" s="71">
        <v>3.4154963217731917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2" t="s">
        <v>8</v>
      </c>
      <c r="P238" s="18" t="s">
        <v>108</v>
      </c>
    </row>
    <row r="239" spans="1:16" x14ac:dyDescent="0.3">
      <c r="A239" s="64" t="s">
        <v>117</v>
      </c>
      <c r="B239" s="192" t="s">
        <v>88</v>
      </c>
      <c r="C239" s="71">
        <v>0</v>
      </c>
      <c r="D239" s="71">
        <v>0</v>
      </c>
      <c r="E239" s="71">
        <v>0</v>
      </c>
      <c r="F239" s="71">
        <v>57.920129932167761</v>
      </c>
      <c r="G239" s="71">
        <v>16.886404891563963</v>
      </c>
      <c r="H239" s="71">
        <v>18.844941243909428</v>
      </c>
      <c r="I239" s="71">
        <v>16.50425145695997</v>
      </c>
      <c r="J239" s="71">
        <v>16.456482277634468</v>
      </c>
      <c r="K239" s="71">
        <v>8.6939906372408515</v>
      </c>
      <c r="L239" s="71">
        <v>17.173019967516957</v>
      </c>
      <c r="M239" s="71">
        <v>3.7737651667144356</v>
      </c>
      <c r="N239" s="71">
        <v>4.7769179325499185E-2</v>
      </c>
      <c r="O239" s="72" t="s">
        <v>8</v>
      </c>
      <c r="P239" s="18" t="s">
        <v>108</v>
      </c>
    </row>
    <row r="240" spans="1:16" x14ac:dyDescent="0.3">
      <c r="A240" s="49" t="s">
        <v>354</v>
      </c>
      <c r="B240" s="191" t="s">
        <v>88</v>
      </c>
      <c r="C240" s="71">
        <v>1.0509219451609821</v>
      </c>
      <c r="D240" s="71">
        <v>1.2897678417884779</v>
      </c>
      <c r="E240" s="71">
        <v>1.4330753797649756</v>
      </c>
      <c r="F240" s="71">
        <v>1.122575714149231</v>
      </c>
      <c r="G240" s="71">
        <v>1.2658832521257284</v>
      </c>
      <c r="H240" s="71">
        <v>1.4330753797649756</v>
      </c>
      <c r="I240" s="71">
        <v>1.9346517626827171</v>
      </c>
      <c r="J240" s="71">
        <v>1.7196904557179706</v>
      </c>
      <c r="K240" s="71">
        <v>2.2690360179612115</v>
      </c>
      <c r="L240" s="71">
        <v>1.9107671730199673</v>
      </c>
      <c r="M240" s="71">
        <v>1.6719212763924716</v>
      </c>
      <c r="N240" s="71">
        <v>1.8391134040317187</v>
      </c>
      <c r="O240" s="72" t="s">
        <v>8</v>
      </c>
      <c r="P240" s="18" t="s">
        <v>108</v>
      </c>
    </row>
    <row r="241" spans="1:16" x14ac:dyDescent="0.3">
      <c r="A241" s="49" t="s">
        <v>355</v>
      </c>
      <c r="B241" s="191" t="s">
        <v>88</v>
      </c>
      <c r="C241" s="71">
        <v>18.056749785038694</v>
      </c>
      <c r="D241" s="71">
        <v>17.364096684818954</v>
      </c>
      <c r="E241" s="71">
        <v>17.722365529760197</v>
      </c>
      <c r="F241" s="71">
        <v>16.671443584599217</v>
      </c>
      <c r="G241" s="71">
        <v>17.961211426387695</v>
      </c>
      <c r="H241" s="71">
        <v>13.661985287092767</v>
      </c>
      <c r="I241" s="71">
        <v>13.853062004394763</v>
      </c>
      <c r="J241" s="71">
        <v>12.89767841788478</v>
      </c>
      <c r="K241" s="71">
        <v>16.671443584599217</v>
      </c>
      <c r="L241" s="71">
        <v>16.002675074042227</v>
      </c>
      <c r="M241" s="71">
        <v>11.440718448457055</v>
      </c>
      <c r="N241" s="71">
        <v>14.999522308206744</v>
      </c>
      <c r="O241" s="72" t="s">
        <v>8</v>
      </c>
      <c r="P241" s="18" t="s">
        <v>108</v>
      </c>
    </row>
    <row r="242" spans="1:16" x14ac:dyDescent="0.3">
      <c r="A242" s="49" t="s">
        <v>356</v>
      </c>
      <c r="B242" s="191" t="s">
        <v>88</v>
      </c>
      <c r="C242" s="71">
        <v>0.23884589662749592</v>
      </c>
      <c r="D242" s="71">
        <v>0.16719212763924715</v>
      </c>
      <c r="E242" s="71">
        <v>0.19107671730199674</v>
      </c>
      <c r="F242" s="71">
        <v>0.21496130696474633</v>
      </c>
      <c r="G242" s="71">
        <v>4.7769179325499185E-2</v>
      </c>
      <c r="H242" s="71">
        <v>5.3262634947931593</v>
      </c>
      <c r="I242" s="71">
        <v>0.74042227954523743</v>
      </c>
      <c r="J242" s="71">
        <v>10.342027323970573</v>
      </c>
      <c r="K242" s="71">
        <v>15.83548294640298</v>
      </c>
      <c r="L242" s="71">
        <v>2.9616891181809497</v>
      </c>
      <c r="M242" s="71">
        <v>0.76430686920798696</v>
      </c>
      <c r="N242" s="71">
        <v>0.21496130696474633</v>
      </c>
      <c r="O242" s="72" t="s">
        <v>8</v>
      </c>
      <c r="P242" s="18" t="s">
        <v>108</v>
      </c>
    </row>
    <row r="243" spans="1:16" x14ac:dyDescent="0.3">
      <c r="A243" s="50" t="s">
        <v>357</v>
      </c>
      <c r="B243" s="193" t="s">
        <v>88</v>
      </c>
      <c r="C243" s="94">
        <v>113.61899302569981</v>
      </c>
      <c r="D243" s="94">
        <v>128.06916977166333</v>
      </c>
      <c r="E243" s="94">
        <v>116.77175886118276</v>
      </c>
      <c r="F243" s="94">
        <v>165.42466800420368</v>
      </c>
      <c r="G243" s="94">
        <v>129.33505302378904</v>
      </c>
      <c r="H243" s="94">
        <v>84.981370020063054</v>
      </c>
      <c r="I243" s="94">
        <v>74.209420082162978</v>
      </c>
      <c r="J243" s="94">
        <v>95.633897009649374</v>
      </c>
      <c r="K243" s="94">
        <v>107.17015381675742</v>
      </c>
      <c r="L243" s="94">
        <v>96.445973058182858</v>
      </c>
      <c r="M243" s="94">
        <v>33.725040603802427</v>
      </c>
      <c r="N243" s="94">
        <v>31.599312123817711</v>
      </c>
      <c r="O243" s="72" t="s">
        <v>8</v>
      </c>
      <c r="P243" s="18" t="s">
        <v>108</v>
      </c>
    </row>
    <row r="244" spans="1:16" x14ac:dyDescent="0.3">
      <c r="A244" s="24" t="s">
        <v>102</v>
      </c>
      <c r="B244" s="25" t="s">
        <v>103</v>
      </c>
      <c r="C244" s="87">
        <f t="shared" ref="C244:N244" si="15">IFERROR((C229+C230+C231+C233+C234+C236+C237+C238+C239+C240+C241+C242)/C243,"")</f>
        <v>1.0002102165230187</v>
      </c>
      <c r="D244" s="87">
        <f t="shared" si="15"/>
        <v>1</v>
      </c>
      <c r="E244" s="87">
        <f t="shared" si="15"/>
        <v>0.99999999999999989</v>
      </c>
      <c r="F244" s="87">
        <f t="shared" si="15"/>
        <v>1</v>
      </c>
      <c r="G244" s="87">
        <f>IFERROR((G229+G230+G231+G233+G234+G236+G237+G238+G239+G240+G241+G242)/G243,"")</f>
        <v>1.0000000000000002</v>
      </c>
      <c r="H244" s="87">
        <f>IFERROR((H229+H230+H231+H233+H234+H236+H237+H238+H239+H240+H241+H242)/H243,"")</f>
        <v>0.99971894322653154</v>
      </c>
      <c r="I244" s="87">
        <f t="shared" si="15"/>
        <v>1.0003218538783396</v>
      </c>
      <c r="J244" s="87">
        <f t="shared" si="15"/>
        <v>1.00024975024975</v>
      </c>
      <c r="K244" s="87">
        <f t="shared" si="15"/>
        <v>0.99977713394250067</v>
      </c>
      <c r="L244" s="87">
        <f t="shared" si="15"/>
        <v>1</v>
      </c>
      <c r="M244" s="87">
        <f t="shared" si="15"/>
        <v>1</v>
      </c>
      <c r="N244" s="87">
        <f t="shared" si="15"/>
        <v>1</v>
      </c>
      <c r="O244" s="72"/>
      <c r="P244" s="49"/>
    </row>
    <row r="245" spans="1:16" x14ac:dyDescent="0.3">
      <c r="A245" s="49"/>
      <c r="B245" s="49"/>
      <c r="C245" s="87">
        <f t="shared" ref="C245:N245" si="16">IFERROR((C228+C232+C235+C240+C241+C242)/C243,"")</f>
        <v>1.0002102165230187</v>
      </c>
      <c r="D245" s="87">
        <f t="shared" si="16"/>
        <v>1</v>
      </c>
      <c r="E245" s="87">
        <f t="shared" si="16"/>
        <v>0.99999999999999989</v>
      </c>
      <c r="F245" s="87">
        <f t="shared" si="16"/>
        <v>1</v>
      </c>
      <c r="G245" s="87">
        <f t="shared" si="16"/>
        <v>1.0000000000000002</v>
      </c>
      <c r="H245" s="87">
        <f t="shared" si="16"/>
        <v>0.99971894322653154</v>
      </c>
      <c r="I245" s="87">
        <f t="shared" si="16"/>
        <v>1.0003218538783394</v>
      </c>
      <c r="J245" s="87">
        <f t="shared" si="16"/>
        <v>1.00024975024975</v>
      </c>
      <c r="K245" s="87">
        <f t="shared" si="16"/>
        <v>0.99977713394250067</v>
      </c>
      <c r="L245" s="87">
        <f t="shared" si="16"/>
        <v>0.99999999999999989</v>
      </c>
      <c r="M245" s="87">
        <f t="shared" si="16"/>
        <v>1</v>
      </c>
      <c r="N245" s="87">
        <f t="shared" si="16"/>
        <v>1</v>
      </c>
      <c r="O245" s="72"/>
      <c r="P245" s="49"/>
    </row>
    <row r="246" spans="1:16" ht="15.6" x14ac:dyDescent="0.3">
      <c r="A246" s="8" t="s">
        <v>358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spans="1:16" x14ac:dyDescent="0.3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x14ac:dyDescent="0.3">
      <c r="A248" s="49" t="s">
        <v>359</v>
      </c>
      <c r="B248" s="191" t="s">
        <v>88</v>
      </c>
      <c r="C248" s="71">
        <v>0</v>
      </c>
      <c r="D248" s="71">
        <v>0</v>
      </c>
      <c r="E248" s="71">
        <v>0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0</v>
      </c>
      <c r="N248" s="71">
        <v>0</v>
      </c>
      <c r="O248" s="72"/>
      <c r="P248" s="49"/>
    </row>
    <row r="249" spans="1:16" x14ac:dyDescent="0.3">
      <c r="A249" s="64" t="s">
        <v>298</v>
      </c>
      <c r="B249" s="192" t="s">
        <v>88</v>
      </c>
      <c r="C249" s="71">
        <v>0</v>
      </c>
      <c r="D249" s="71">
        <v>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2" t="s">
        <v>8</v>
      </c>
      <c r="P249" s="18" t="s">
        <v>108</v>
      </c>
    </row>
    <row r="250" spans="1:16" x14ac:dyDescent="0.3">
      <c r="A250" s="64" t="s">
        <v>110</v>
      </c>
      <c r="B250" s="192" t="s">
        <v>88</v>
      </c>
      <c r="C250" s="71">
        <v>0</v>
      </c>
      <c r="D250" s="71">
        <v>0</v>
      </c>
      <c r="E250" s="71">
        <v>0</v>
      </c>
      <c r="F250" s="71">
        <v>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0</v>
      </c>
      <c r="O250" s="72" t="s">
        <v>8</v>
      </c>
      <c r="P250" s="18" t="s">
        <v>108</v>
      </c>
    </row>
    <row r="251" spans="1:16" x14ac:dyDescent="0.3">
      <c r="A251" s="64" t="s">
        <v>299</v>
      </c>
      <c r="B251" s="192" t="s">
        <v>88</v>
      </c>
      <c r="C251" s="71">
        <v>0</v>
      </c>
      <c r="D251" s="71">
        <v>0</v>
      </c>
      <c r="E251" s="71">
        <v>0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2" t="s">
        <v>8</v>
      </c>
      <c r="P251" s="18" t="s">
        <v>108</v>
      </c>
    </row>
    <row r="252" spans="1:16" x14ac:dyDescent="0.3">
      <c r="A252" s="49" t="s">
        <v>360</v>
      </c>
      <c r="B252" s="191" t="s">
        <v>88</v>
      </c>
      <c r="C252" s="71">
        <v>0.11942294831374796</v>
      </c>
      <c r="D252" s="71">
        <v>0.11942294831374796</v>
      </c>
      <c r="E252" s="71">
        <v>7.1653768988248781E-2</v>
      </c>
      <c r="F252" s="71">
        <v>7.1653768988248781E-2</v>
      </c>
      <c r="G252" s="71">
        <v>4.7769179325499185E-2</v>
      </c>
      <c r="H252" s="71">
        <v>2.3884589662749593E-2</v>
      </c>
      <c r="I252" s="71">
        <v>0.31049966561574471</v>
      </c>
      <c r="J252" s="71">
        <v>0.26273048629024554</v>
      </c>
      <c r="K252" s="71">
        <v>0.3343842552784943</v>
      </c>
      <c r="L252" s="71">
        <v>0.42992261392949266</v>
      </c>
      <c r="M252" s="71">
        <v>0.21496130696474633</v>
      </c>
      <c r="N252" s="71">
        <v>0.31049966561574471</v>
      </c>
      <c r="O252" s="72"/>
      <c r="P252" s="58"/>
    </row>
    <row r="253" spans="1:16" x14ac:dyDescent="0.3">
      <c r="A253" s="64" t="s">
        <v>301</v>
      </c>
      <c r="B253" s="192" t="s">
        <v>88</v>
      </c>
      <c r="C253" s="71">
        <v>0.11942294831374796</v>
      </c>
      <c r="D253" s="71">
        <v>0.11942294831374796</v>
      </c>
      <c r="E253" s="71">
        <v>7.1653768988248781E-2</v>
      </c>
      <c r="F253" s="71">
        <v>7.1653768988248781E-2</v>
      </c>
      <c r="G253" s="71">
        <v>4.7769179325499185E-2</v>
      </c>
      <c r="H253" s="71">
        <v>2.3884589662749593E-2</v>
      </c>
      <c r="I253" s="71">
        <v>0.31049966561574471</v>
      </c>
      <c r="J253" s="71">
        <v>0.26273048629024554</v>
      </c>
      <c r="K253" s="71">
        <v>0.3343842552784943</v>
      </c>
      <c r="L253" s="71">
        <v>0.42992261392949266</v>
      </c>
      <c r="M253" s="71">
        <v>0.21496130696474633</v>
      </c>
      <c r="N253" s="71">
        <v>0.31049966561574471</v>
      </c>
      <c r="O253" s="72" t="s">
        <v>8</v>
      </c>
      <c r="P253" s="18" t="s">
        <v>108</v>
      </c>
    </row>
    <row r="254" spans="1:16" x14ac:dyDescent="0.3">
      <c r="A254" s="64" t="s">
        <v>302</v>
      </c>
      <c r="B254" s="192" t="s">
        <v>88</v>
      </c>
      <c r="C254" s="71">
        <v>0</v>
      </c>
      <c r="D254" s="71">
        <v>0</v>
      </c>
      <c r="E254" s="71">
        <v>0</v>
      </c>
      <c r="F254" s="71">
        <v>0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0</v>
      </c>
      <c r="N254" s="71">
        <v>0</v>
      </c>
      <c r="O254" s="72" t="s">
        <v>8</v>
      </c>
      <c r="P254" s="18" t="s">
        <v>108</v>
      </c>
    </row>
    <row r="255" spans="1:16" x14ac:dyDescent="0.3">
      <c r="A255" s="49" t="s">
        <v>361</v>
      </c>
      <c r="B255" s="191" t="s">
        <v>88</v>
      </c>
      <c r="C255" s="71">
        <v>0</v>
      </c>
      <c r="D255" s="71">
        <v>0</v>
      </c>
      <c r="E255" s="71">
        <v>0</v>
      </c>
      <c r="F255" s="71">
        <v>0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72"/>
      <c r="P255" s="58"/>
    </row>
    <row r="256" spans="1:16" x14ac:dyDescent="0.3">
      <c r="A256" s="64" t="s">
        <v>114</v>
      </c>
      <c r="B256" s="192" t="s">
        <v>88</v>
      </c>
      <c r="C256" s="71">
        <v>0</v>
      </c>
      <c r="D256" s="71">
        <v>0</v>
      </c>
      <c r="E256" s="71">
        <v>0</v>
      </c>
      <c r="F256" s="71">
        <v>0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2" t="s">
        <v>8</v>
      </c>
      <c r="P256" s="18" t="s">
        <v>108</v>
      </c>
    </row>
    <row r="257" spans="1:16" x14ac:dyDescent="0.3">
      <c r="A257" s="64" t="s">
        <v>313</v>
      </c>
      <c r="B257" s="192" t="s">
        <v>88</v>
      </c>
      <c r="C257" s="71">
        <v>0</v>
      </c>
      <c r="D257" s="71">
        <v>0</v>
      </c>
      <c r="E257" s="71">
        <v>0</v>
      </c>
      <c r="F257" s="71">
        <v>0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0</v>
      </c>
      <c r="N257" s="71">
        <v>0</v>
      </c>
      <c r="O257" s="72" t="s">
        <v>8</v>
      </c>
      <c r="P257" s="18" t="s">
        <v>108</v>
      </c>
    </row>
    <row r="258" spans="1:16" x14ac:dyDescent="0.3">
      <c r="A258" s="64" t="s">
        <v>116</v>
      </c>
      <c r="B258" s="192" t="s">
        <v>88</v>
      </c>
      <c r="C258" s="71">
        <v>0</v>
      </c>
      <c r="D258" s="71">
        <v>0</v>
      </c>
      <c r="E258" s="71">
        <v>0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2" t="s">
        <v>8</v>
      </c>
      <c r="P258" s="18" t="s">
        <v>108</v>
      </c>
    </row>
    <row r="259" spans="1:16" x14ac:dyDescent="0.3">
      <c r="A259" s="64" t="s">
        <v>117</v>
      </c>
      <c r="B259" s="192" t="s">
        <v>88</v>
      </c>
      <c r="C259" s="71">
        <v>0</v>
      </c>
      <c r="D259" s="71">
        <v>0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2" t="s">
        <v>8</v>
      </c>
      <c r="P259" s="18" t="s">
        <v>108</v>
      </c>
    </row>
    <row r="260" spans="1:16" x14ac:dyDescent="0.3">
      <c r="A260" s="49" t="s">
        <v>362</v>
      </c>
      <c r="B260" s="191" t="s">
        <v>88</v>
      </c>
      <c r="C260" s="71">
        <v>2.3884589662749593E-2</v>
      </c>
      <c r="D260" s="71">
        <v>0</v>
      </c>
      <c r="E260" s="71">
        <v>0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2" t="s">
        <v>8</v>
      </c>
      <c r="P260" s="18" t="s">
        <v>108</v>
      </c>
    </row>
    <row r="261" spans="1:16" x14ac:dyDescent="0.3">
      <c r="A261" s="49" t="s">
        <v>363</v>
      </c>
      <c r="B261" s="191" t="s">
        <v>88</v>
      </c>
      <c r="C261" s="71">
        <v>0.26273048629024554</v>
      </c>
      <c r="D261" s="71">
        <v>0.26273048629024554</v>
      </c>
      <c r="E261" s="71">
        <v>9.553835865099837E-2</v>
      </c>
      <c r="F261" s="71">
        <v>9.553835865099837E-2</v>
      </c>
      <c r="G261" s="71">
        <v>9.553835865099837E-2</v>
      </c>
      <c r="H261" s="71">
        <v>9.553835865099837E-2</v>
      </c>
      <c r="I261" s="71">
        <v>9.553835865099837E-2</v>
      </c>
      <c r="J261" s="71">
        <v>0.16719212763924715</v>
      </c>
      <c r="K261" s="71">
        <v>0.26273048629024554</v>
      </c>
      <c r="L261" s="71">
        <v>0.69265310021973814</v>
      </c>
      <c r="M261" s="71">
        <v>0.71653768988248778</v>
      </c>
      <c r="N261" s="71">
        <v>0.88372981752173496</v>
      </c>
      <c r="O261" s="72" t="s">
        <v>8</v>
      </c>
      <c r="P261" s="18" t="s">
        <v>108</v>
      </c>
    </row>
    <row r="262" spans="1:16" x14ac:dyDescent="0.3">
      <c r="A262" s="49" t="s">
        <v>364</v>
      </c>
      <c r="B262" s="191" t="s">
        <v>88</v>
      </c>
      <c r="C262" s="71">
        <v>0</v>
      </c>
      <c r="D262" s="71">
        <v>2.3884589662749593E-2</v>
      </c>
      <c r="E262" s="71">
        <v>2.3884589662749593E-2</v>
      </c>
      <c r="F262" s="71">
        <v>2.3884589662749593E-2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2" t="s">
        <v>8</v>
      </c>
      <c r="P262" s="18" t="s">
        <v>108</v>
      </c>
    </row>
    <row r="263" spans="1:16" x14ac:dyDescent="0.3">
      <c r="A263" s="50" t="s">
        <v>365</v>
      </c>
      <c r="B263" s="193" t="s">
        <v>88</v>
      </c>
      <c r="C263" s="94">
        <v>0.40603802426674307</v>
      </c>
      <c r="D263" s="94">
        <v>0.40603802426674307</v>
      </c>
      <c r="E263" s="94">
        <v>0.19107671730199674</v>
      </c>
      <c r="F263" s="94">
        <v>0.19107671730199674</v>
      </c>
      <c r="G263" s="94">
        <v>0.14330753797649756</v>
      </c>
      <c r="H263" s="94">
        <v>0.11942294831374796</v>
      </c>
      <c r="I263" s="94">
        <v>0.40603802426674307</v>
      </c>
      <c r="J263" s="94">
        <v>0.42992261392949266</v>
      </c>
      <c r="K263" s="94">
        <v>0.57323015190599025</v>
      </c>
      <c r="L263" s="94">
        <v>1.122575714149231</v>
      </c>
      <c r="M263" s="94">
        <v>0.93149899684723414</v>
      </c>
      <c r="N263" s="94">
        <v>1.1942294831374796</v>
      </c>
      <c r="O263" s="72" t="s">
        <v>8</v>
      </c>
      <c r="P263" s="18" t="s">
        <v>108</v>
      </c>
    </row>
    <row r="264" spans="1:16" x14ac:dyDescent="0.3">
      <c r="A264" s="24" t="s">
        <v>102</v>
      </c>
      <c r="B264" s="25" t="s">
        <v>103</v>
      </c>
      <c r="C264" s="87">
        <f t="shared" ref="C264:N264" si="17">IFERROR((C249+C250+C251+C253+C254+C256+C257+C258+C259+C260+C261+C262)/C263,"")</f>
        <v>1</v>
      </c>
      <c r="D264" s="87">
        <f t="shared" si="17"/>
        <v>1</v>
      </c>
      <c r="E264" s="87">
        <f t="shared" si="17"/>
        <v>1</v>
      </c>
      <c r="F264" s="87">
        <f t="shared" si="17"/>
        <v>1</v>
      </c>
      <c r="G264" s="87">
        <f t="shared" si="17"/>
        <v>1</v>
      </c>
      <c r="H264" s="87">
        <f t="shared" si="17"/>
        <v>1</v>
      </c>
      <c r="I264" s="87">
        <f t="shared" si="17"/>
        <v>1</v>
      </c>
      <c r="J264" s="87">
        <f t="shared" si="17"/>
        <v>1.0000000000000002</v>
      </c>
      <c r="K264" s="87">
        <f t="shared" si="17"/>
        <v>1.0416666666666667</v>
      </c>
      <c r="L264" s="87">
        <f t="shared" si="17"/>
        <v>0.99999999999999978</v>
      </c>
      <c r="M264" s="87">
        <f t="shared" si="17"/>
        <v>1</v>
      </c>
      <c r="N264" s="87">
        <f t="shared" si="17"/>
        <v>1.0000000000000002</v>
      </c>
      <c r="O264" s="72"/>
      <c r="P264" s="49"/>
    </row>
    <row r="265" spans="1:16" x14ac:dyDescent="0.3">
      <c r="A265" s="49"/>
      <c r="B265" s="49"/>
      <c r="C265" s="87">
        <f t="shared" ref="C265:N265" si="18">IFERROR((C248+C252+C255+C260+C261+C262)/C263,"")</f>
        <v>1</v>
      </c>
      <c r="D265" s="87">
        <f t="shared" si="18"/>
        <v>1</v>
      </c>
      <c r="E265" s="87">
        <f t="shared" si="18"/>
        <v>1</v>
      </c>
      <c r="F265" s="87">
        <f t="shared" si="18"/>
        <v>1</v>
      </c>
      <c r="G265" s="87">
        <f t="shared" si="18"/>
        <v>1</v>
      </c>
      <c r="H265" s="87">
        <f t="shared" si="18"/>
        <v>1</v>
      </c>
      <c r="I265" s="87">
        <f t="shared" si="18"/>
        <v>1</v>
      </c>
      <c r="J265" s="87">
        <f t="shared" si="18"/>
        <v>1.0000000000000002</v>
      </c>
      <c r="K265" s="87">
        <f t="shared" si="18"/>
        <v>1.0416666666666667</v>
      </c>
      <c r="L265" s="87">
        <f t="shared" si="18"/>
        <v>0.99999999999999978</v>
      </c>
      <c r="M265" s="87">
        <f t="shared" si="18"/>
        <v>1</v>
      </c>
      <c r="N265" s="87">
        <f t="shared" si="18"/>
        <v>1.0000000000000002</v>
      </c>
      <c r="O265" s="72"/>
      <c r="P265" s="49"/>
    </row>
    <row r="266" spans="1:16" ht="15.6" x14ac:dyDescent="0.3">
      <c r="A266" s="8" t="s">
        <v>366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x14ac:dyDescent="0.3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x14ac:dyDescent="0.3">
      <c r="A268" s="49" t="s">
        <v>367</v>
      </c>
      <c r="B268" s="191" t="s">
        <v>88</v>
      </c>
      <c r="C268" s="71">
        <v>0</v>
      </c>
      <c r="D268" s="71">
        <v>0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2"/>
      <c r="P268" s="49"/>
    </row>
    <row r="269" spans="1:16" x14ac:dyDescent="0.3">
      <c r="A269" s="64" t="s">
        <v>298</v>
      </c>
      <c r="B269" s="192" t="s">
        <v>88</v>
      </c>
      <c r="C269" s="71">
        <v>0</v>
      </c>
      <c r="D269" s="71">
        <v>0</v>
      </c>
      <c r="E269" s="71">
        <v>0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2" t="s">
        <v>8</v>
      </c>
      <c r="P269" s="18" t="s">
        <v>108</v>
      </c>
    </row>
    <row r="270" spans="1:16" x14ac:dyDescent="0.3">
      <c r="A270" s="64" t="s">
        <v>110</v>
      </c>
      <c r="B270" s="192" t="s">
        <v>88</v>
      </c>
      <c r="C270" s="71">
        <v>0</v>
      </c>
      <c r="D270" s="71">
        <v>0</v>
      </c>
      <c r="E270" s="71">
        <v>0</v>
      </c>
      <c r="F270" s="71">
        <v>0</v>
      </c>
      <c r="G270" s="71">
        <v>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2" t="s">
        <v>8</v>
      </c>
      <c r="P270" s="18" t="s">
        <v>108</v>
      </c>
    </row>
    <row r="271" spans="1:16" x14ac:dyDescent="0.3">
      <c r="A271" s="64" t="s">
        <v>299</v>
      </c>
      <c r="B271" s="192" t="s">
        <v>88</v>
      </c>
      <c r="C271" s="71">
        <v>0</v>
      </c>
      <c r="D271" s="71">
        <v>0</v>
      </c>
      <c r="E271" s="71">
        <v>0</v>
      </c>
      <c r="F271" s="71">
        <v>0</v>
      </c>
      <c r="G271" s="71">
        <v>0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2" t="s">
        <v>8</v>
      </c>
      <c r="P271" s="18" t="s">
        <v>108</v>
      </c>
    </row>
    <row r="272" spans="1:16" x14ac:dyDescent="0.3">
      <c r="A272" s="49" t="s">
        <v>368</v>
      </c>
      <c r="B272" s="191" t="s">
        <v>88</v>
      </c>
      <c r="C272" s="71">
        <v>1.320863235777485</v>
      </c>
      <c r="D272" s="71">
        <v>0</v>
      </c>
      <c r="E272" s="71">
        <v>1.8939339119279617</v>
      </c>
      <c r="F272" s="71">
        <v>1.3382208001425111</v>
      </c>
      <c r="G272" s="71">
        <v>1.3542562338779018</v>
      </c>
      <c r="H272" s="71">
        <v>0.96733981634116162</v>
      </c>
      <c r="I272" s="71">
        <v>1.1324522257842993</v>
      </c>
      <c r="J272" s="71">
        <v>1.049057099121663</v>
      </c>
      <c r="K272" s="71">
        <v>1.0745272984938916</v>
      </c>
      <c r="L272" s="71">
        <v>0.42981091939755667</v>
      </c>
      <c r="M272" s="71">
        <v>0.5493455622432406</v>
      </c>
      <c r="N272" s="71">
        <v>0.21496130696474633</v>
      </c>
      <c r="O272" s="72"/>
      <c r="P272" s="58"/>
    </row>
    <row r="273" spans="1:16" x14ac:dyDescent="0.3">
      <c r="A273" s="64" t="s">
        <v>301</v>
      </c>
      <c r="B273" s="192" t="s">
        <v>88</v>
      </c>
      <c r="C273" s="71">
        <v>1.320863235777485</v>
      </c>
      <c r="D273" s="71">
        <v>0</v>
      </c>
      <c r="E273" s="71">
        <v>1.8939339119279617</v>
      </c>
      <c r="F273" s="71">
        <v>1.3382208001425111</v>
      </c>
      <c r="G273" s="71">
        <v>1.3542562338779018</v>
      </c>
      <c r="H273" s="71">
        <v>0.96733981634116162</v>
      </c>
      <c r="I273" s="71">
        <v>1.1324522257842993</v>
      </c>
      <c r="J273" s="71">
        <v>1.049057099121663</v>
      </c>
      <c r="K273" s="71">
        <v>1.0745272984938916</v>
      </c>
      <c r="L273" s="71">
        <v>0.42981091939755667</v>
      </c>
      <c r="M273" s="71">
        <v>0.5493455622432406</v>
      </c>
      <c r="N273" s="71">
        <v>0.21496130696474633</v>
      </c>
      <c r="O273" s="72" t="s">
        <v>8</v>
      </c>
      <c r="P273" s="18" t="s">
        <v>108</v>
      </c>
    </row>
    <row r="274" spans="1:16" x14ac:dyDescent="0.3">
      <c r="A274" s="64" t="s">
        <v>302</v>
      </c>
      <c r="B274" s="192" t="s">
        <v>88</v>
      </c>
      <c r="C274" s="71">
        <v>0</v>
      </c>
      <c r="D274" s="71">
        <v>0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2" t="s">
        <v>8</v>
      </c>
      <c r="P274" s="18" t="s">
        <v>108</v>
      </c>
    </row>
    <row r="275" spans="1:16" x14ac:dyDescent="0.3">
      <c r="A275" s="49" t="s">
        <v>369</v>
      </c>
      <c r="B275" s="191" t="s">
        <v>88</v>
      </c>
      <c r="C275" s="71">
        <v>0.64870545524027889</v>
      </c>
      <c r="D275" s="71">
        <v>0.65078341454093813</v>
      </c>
      <c r="E275" s="71">
        <v>0.65078341454093813</v>
      </c>
      <c r="F275" s="71">
        <v>0.64844272475398868</v>
      </c>
      <c r="G275" s="71">
        <v>0.64856214770230247</v>
      </c>
      <c r="H275" s="71">
        <v>0</v>
      </c>
      <c r="I275" s="71">
        <v>0</v>
      </c>
      <c r="J275" s="71">
        <v>4.7291487532244193E-2</v>
      </c>
      <c r="K275" s="71">
        <v>0</v>
      </c>
      <c r="L275" s="71">
        <v>0</v>
      </c>
      <c r="M275" s="71">
        <v>0</v>
      </c>
      <c r="N275" s="71">
        <v>0</v>
      </c>
      <c r="O275" s="72"/>
      <c r="P275" s="58"/>
    </row>
    <row r="276" spans="1:16" x14ac:dyDescent="0.3">
      <c r="A276" s="64" t="s">
        <v>114</v>
      </c>
      <c r="B276" s="192" t="s">
        <v>88</v>
      </c>
      <c r="C276" s="71">
        <v>0.64870545524027889</v>
      </c>
      <c r="D276" s="71">
        <v>0.65078341454093813</v>
      </c>
      <c r="E276" s="71">
        <v>0.65078341454093813</v>
      </c>
      <c r="F276" s="71">
        <v>0.64844272475398868</v>
      </c>
      <c r="G276" s="71">
        <v>0.64856214770230247</v>
      </c>
      <c r="H276" s="71">
        <v>0</v>
      </c>
      <c r="I276" s="71">
        <v>0</v>
      </c>
      <c r="J276" s="71">
        <v>4.7291487532244193E-2</v>
      </c>
      <c r="K276" s="71">
        <v>0</v>
      </c>
      <c r="L276" s="71">
        <v>0</v>
      </c>
      <c r="M276" s="71">
        <v>0</v>
      </c>
      <c r="N276" s="71">
        <v>0</v>
      </c>
      <c r="O276" s="72" t="s">
        <v>8</v>
      </c>
      <c r="P276" s="18" t="s">
        <v>108</v>
      </c>
    </row>
    <row r="277" spans="1:16" x14ac:dyDescent="0.3">
      <c r="A277" s="64" t="s">
        <v>313</v>
      </c>
      <c r="B277" s="192" t="s">
        <v>88</v>
      </c>
      <c r="C277" s="71">
        <v>0</v>
      </c>
      <c r="D277" s="71">
        <v>0</v>
      </c>
      <c r="E277" s="71">
        <v>0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2" t="s">
        <v>8</v>
      </c>
      <c r="P277" s="18" t="s">
        <v>108</v>
      </c>
    </row>
    <row r="278" spans="1:16" x14ac:dyDescent="0.3">
      <c r="A278" s="64" t="s">
        <v>116</v>
      </c>
      <c r="B278" s="192" t="s">
        <v>88</v>
      </c>
      <c r="C278" s="71">
        <v>0</v>
      </c>
      <c r="D278" s="71">
        <v>0</v>
      </c>
      <c r="E278" s="71">
        <v>0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2" t="s">
        <v>8</v>
      </c>
      <c r="P278" s="18" t="s">
        <v>108</v>
      </c>
    </row>
    <row r="279" spans="1:16" x14ac:dyDescent="0.3">
      <c r="A279" s="64" t="s">
        <v>117</v>
      </c>
      <c r="B279" s="192" t="s">
        <v>88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2" t="s">
        <v>8</v>
      </c>
      <c r="P279" s="18" t="s">
        <v>108</v>
      </c>
    </row>
    <row r="280" spans="1:16" x14ac:dyDescent="0.3">
      <c r="A280" s="49" t="s">
        <v>370</v>
      </c>
      <c r="B280" s="191" t="s">
        <v>88</v>
      </c>
      <c r="C280" s="71">
        <v>9.553835865099837E-2</v>
      </c>
      <c r="D280" s="71">
        <v>7.1653768988248781E-2</v>
      </c>
      <c r="E280" s="71">
        <v>2.3884589662749593E-2</v>
      </c>
      <c r="F280" s="71">
        <v>2.3884589662749593E-2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2" t="s">
        <v>8</v>
      </c>
      <c r="P280" s="18" t="s">
        <v>108</v>
      </c>
    </row>
    <row r="281" spans="1:16" x14ac:dyDescent="0.3">
      <c r="A281" s="49" t="s">
        <v>371</v>
      </c>
      <c r="B281" s="191" t="s">
        <v>88</v>
      </c>
      <c r="C281" s="71">
        <v>0.85984522785898532</v>
      </c>
      <c r="D281" s="71">
        <v>0.60189165950128976</v>
      </c>
      <c r="E281" s="71">
        <v>0.7738607050730868</v>
      </c>
      <c r="F281" s="71">
        <v>0.42992261392949266</v>
      </c>
      <c r="G281" s="71">
        <v>0.42992261392949266</v>
      </c>
      <c r="H281" s="71">
        <v>0.34393809114359414</v>
      </c>
      <c r="I281" s="71">
        <v>0.42992261392949266</v>
      </c>
      <c r="J281" s="71">
        <v>0</v>
      </c>
      <c r="K281" s="71">
        <v>0.25795356835769562</v>
      </c>
      <c r="L281" s="71">
        <v>0.23215821152192606</v>
      </c>
      <c r="M281" s="71">
        <v>0.26273048629024554</v>
      </c>
      <c r="N281" s="71">
        <v>0.28661507595299512</v>
      </c>
      <c r="O281" s="72" t="s">
        <v>8</v>
      </c>
      <c r="P281" s="18" t="s">
        <v>108</v>
      </c>
    </row>
    <row r="282" spans="1:16" x14ac:dyDescent="0.3">
      <c r="A282" s="49" t="s">
        <v>372</v>
      </c>
      <c r="B282" s="191" t="s">
        <v>88</v>
      </c>
      <c r="C282" s="71">
        <v>0</v>
      </c>
      <c r="D282" s="71">
        <v>0</v>
      </c>
      <c r="E282" s="71">
        <v>0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2" t="s">
        <v>8</v>
      </c>
      <c r="P282" s="18" t="s">
        <v>108</v>
      </c>
    </row>
    <row r="283" spans="1:16" x14ac:dyDescent="0.3">
      <c r="A283" s="50" t="s">
        <v>373</v>
      </c>
      <c r="B283" s="57" t="s">
        <v>88</v>
      </c>
      <c r="C283" s="210">
        <v>2.9249522775277477</v>
      </c>
      <c r="D283" s="210">
        <v>1.3243288430304767</v>
      </c>
      <c r="E283" s="210">
        <v>3.3424626212047359</v>
      </c>
      <c r="F283" s="210">
        <v>2.4404707284887421</v>
      </c>
      <c r="G283" s="210">
        <v>2.4327409955096968</v>
      </c>
      <c r="H283" s="210">
        <v>1.3112779074847558</v>
      </c>
      <c r="I283" s="210">
        <v>1.562374839713792</v>
      </c>
      <c r="J283" s="210">
        <v>1.0963485866539071</v>
      </c>
      <c r="K283" s="210">
        <v>1.3324808668515873</v>
      </c>
      <c r="L283" s="210">
        <v>0.66196913091948273</v>
      </c>
      <c r="M283" s="210">
        <v>0.81207604853348614</v>
      </c>
      <c r="N283" s="210">
        <v>0.50157638291774143</v>
      </c>
      <c r="O283" s="72" t="s">
        <v>8</v>
      </c>
      <c r="P283" s="18" t="s">
        <v>108</v>
      </c>
    </row>
    <row r="284" spans="1:16" x14ac:dyDescent="0.3">
      <c r="A284" s="24" t="s">
        <v>102</v>
      </c>
      <c r="B284" s="25" t="s">
        <v>103</v>
      </c>
      <c r="C284" s="87">
        <f t="shared" ref="C284:N284" si="19">IFERROR((C269+C270+C271+C273+C274+C276+C277+C278+C279+C280+C281+C282)/C283,"")</f>
        <v>1</v>
      </c>
      <c r="D284" s="87">
        <f t="shared" si="19"/>
        <v>1</v>
      </c>
      <c r="E284" s="87">
        <f t="shared" si="19"/>
        <v>1</v>
      </c>
      <c r="F284" s="87">
        <f t="shared" si="19"/>
        <v>0.99999999999999978</v>
      </c>
      <c r="G284" s="87">
        <f t="shared" si="19"/>
        <v>1</v>
      </c>
      <c r="H284" s="87">
        <f t="shared" si="19"/>
        <v>1</v>
      </c>
      <c r="I284" s="87">
        <f t="shared" si="19"/>
        <v>1</v>
      </c>
      <c r="J284" s="87">
        <f t="shared" si="19"/>
        <v>1</v>
      </c>
      <c r="K284" s="87">
        <f t="shared" si="19"/>
        <v>1</v>
      </c>
      <c r="L284" s="87">
        <f t="shared" si="19"/>
        <v>1</v>
      </c>
      <c r="M284" s="87">
        <f t="shared" si="19"/>
        <v>1</v>
      </c>
      <c r="N284" s="87">
        <f t="shared" si="19"/>
        <v>1</v>
      </c>
      <c r="O284" s="72"/>
      <c r="P284" s="49"/>
    </row>
    <row r="285" spans="1:16" x14ac:dyDescent="0.3">
      <c r="A285" s="49"/>
      <c r="B285" s="49"/>
      <c r="C285" s="87">
        <f t="shared" ref="C285:N285" si="20">IFERROR((C268+C272+C275+C280+C281+C282)/C283,"")</f>
        <v>1</v>
      </c>
      <c r="D285" s="87">
        <f t="shared" si="20"/>
        <v>1</v>
      </c>
      <c r="E285" s="87">
        <f t="shared" si="20"/>
        <v>1</v>
      </c>
      <c r="F285" s="87">
        <f t="shared" si="20"/>
        <v>0.99999999999999978</v>
      </c>
      <c r="G285" s="87">
        <f t="shared" si="20"/>
        <v>1</v>
      </c>
      <c r="H285" s="87">
        <f t="shared" si="20"/>
        <v>1</v>
      </c>
      <c r="I285" s="87">
        <f t="shared" si="20"/>
        <v>1</v>
      </c>
      <c r="J285" s="87">
        <f t="shared" si="20"/>
        <v>1</v>
      </c>
      <c r="K285" s="87">
        <f t="shared" si="20"/>
        <v>1</v>
      </c>
      <c r="L285" s="87">
        <f t="shared" si="20"/>
        <v>1</v>
      </c>
      <c r="M285" s="87">
        <f t="shared" si="20"/>
        <v>1</v>
      </c>
      <c r="N285" s="87">
        <f t="shared" si="20"/>
        <v>1</v>
      </c>
      <c r="O285" s="72"/>
      <c r="P285" s="49"/>
    </row>
    <row r="286" spans="1:16" ht="15.6" x14ac:dyDescent="0.3">
      <c r="A286" s="8" t="s">
        <v>374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1:16" x14ac:dyDescent="0.3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1:16" x14ac:dyDescent="0.3">
      <c r="A288" s="49" t="s">
        <v>375</v>
      </c>
      <c r="B288" s="191" t="s">
        <v>88</v>
      </c>
      <c r="C288" s="71">
        <v>4.0999999999999996</v>
      </c>
      <c r="D288" s="71">
        <v>0</v>
      </c>
      <c r="E288" s="71">
        <v>2.1</v>
      </c>
      <c r="F288" s="71">
        <v>2.2000000000000002</v>
      </c>
      <c r="G288" s="71">
        <v>1.0867488296551064</v>
      </c>
      <c r="H288" s="71">
        <v>1.0867488296551064</v>
      </c>
      <c r="I288" s="71">
        <v>1.0867488296551064</v>
      </c>
      <c r="J288" s="71">
        <v>1.0867488296551064</v>
      </c>
      <c r="K288" s="71">
        <v>1.0867488296551064</v>
      </c>
      <c r="L288" s="71">
        <v>3.3553071558230627</v>
      </c>
      <c r="M288" s="71">
        <v>1.815228814368969</v>
      </c>
      <c r="N288" s="71">
        <v>1.1942294831374796</v>
      </c>
      <c r="O288" s="72"/>
      <c r="P288" s="49"/>
    </row>
    <row r="289" spans="1:16" x14ac:dyDescent="0.3">
      <c r="A289" s="64" t="s">
        <v>298</v>
      </c>
      <c r="B289" s="192" t="s">
        <v>88</v>
      </c>
      <c r="C289" s="71">
        <v>2.0206362854686155</v>
      </c>
      <c r="D289" s="71">
        <v>0</v>
      </c>
      <c r="E289" s="71">
        <v>1.0103181427343078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1.6165090283748926</v>
      </c>
      <c r="M289" s="71">
        <v>9.553835865099837E-2</v>
      </c>
      <c r="N289" s="71">
        <v>9.553835865099837E-2</v>
      </c>
      <c r="O289" s="72" t="s">
        <v>8</v>
      </c>
      <c r="P289" s="18" t="s">
        <v>108</v>
      </c>
    </row>
    <row r="290" spans="1:16" x14ac:dyDescent="0.3">
      <c r="A290" s="64" t="s">
        <v>110</v>
      </c>
      <c r="B290" s="192" t="s">
        <v>88</v>
      </c>
      <c r="C290" s="71">
        <v>0.94821820961115888</v>
      </c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2" t="s">
        <v>8</v>
      </c>
      <c r="P290" s="18" t="s">
        <v>108</v>
      </c>
    </row>
    <row r="291" spans="1:16" x14ac:dyDescent="0.3">
      <c r="A291" s="64" t="s">
        <v>299</v>
      </c>
      <c r="B291" s="192" t="s">
        <v>88</v>
      </c>
      <c r="C291" s="71">
        <v>1.0867488296551064</v>
      </c>
      <c r="D291" s="71">
        <v>0</v>
      </c>
      <c r="E291" s="71">
        <v>1.0867488296551064</v>
      </c>
      <c r="F291" s="71">
        <v>2.1734976593102129</v>
      </c>
      <c r="G291" s="71">
        <v>1.0867488296551064</v>
      </c>
      <c r="H291" s="71">
        <v>1.0867488296551064</v>
      </c>
      <c r="I291" s="71">
        <v>1.0867488296551064</v>
      </c>
      <c r="J291" s="71">
        <v>1.0867488296551064</v>
      </c>
      <c r="K291" s="71">
        <v>1.0867488296551064</v>
      </c>
      <c r="L291" s="71">
        <v>1.7387981274481703</v>
      </c>
      <c r="M291" s="71">
        <v>1.7196904557179706</v>
      </c>
      <c r="N291" s="71">
        <v>1.0986911244864812</v>
      </c>
      <c r="O291" s="72" t="s">
        <v>8</v>
      </c>
      <c r="P291" s="18" t="s">
        <v>108</v>
      </c>
    </row>
    <row r="292" spans="1:16" x14ac:dyDescent="0.3">
      <c r="A292" s="49" t="s">
        <v>376</v>
      </c>
      <c r="B292" s="191" t="s">
        <v>88</v>
      </c>
      <c r="C292" s="71">
        <v>5.2651834867869383</v>
      </c>
      <c r="D292" s="71">
        <v>9.7352168143448292</v>
      </c>
      <c r="E292" s="71">
        <v>8.9185761102717525</v>
      </c>
      <c r="F292" s="71">
        <v>7.8440488680703373</v>
      </c>
      <c r="G292" s="71">
        <v>6.2537485496122409</v>
      </c>
      <c r="H292" s="71">
        <v>6.0173525563279293</v>
      </c>
      <c r="I292" s="71">
        <v>5.1792213074108258</v>
      </c>
      <c r="J292" s="71">
        <v>3.9542602513012115</v>
      </c>
      <c r="K292" s="71">
        <v>3.2817781220418762</v>
      </c>
      <c r="L292" s="71">
        <v>3.3826117584500572</v>
      </c>
      <c r="M292" s="71">
        <v>3.0333428871691983</v>
      </c>
      <c r="N292" s="71">
        <v>4.13203401165568</v>
      </c>
      <c r="O292" s="72"/>
      <c r="P292" s="58"/>
    </row>
    <row r="293" spans="1:16" x14ac:dyDescent="0.3">
      <c r="A293" s="64" t="s">
        <v>301</v>
      </c>
      <c r="B293" s="192" t="s">
        <v>88</v>
      </c>
      <c r="C293" s="71">
        <v>5.2651834867869383</v>
      </c>
      <c r="D293" s="71">
        <v>9.7352168143448292</v>
      </c>
      <c r="E293" s="71">
        <v>8.9185761102717525</v>
      </c>
      <c r="F293" s="71">
        <v>7.8440488680703373</v>
      </c>
      <c r="G293" s="71">
        <v>6.2537485496122409</v>
      </c>
      <c r="H293" s="71">
        <v>6.0173525563279293</v>
      </c>
      <c r="I293" s="71">
        <v>5.1792213074108258</v>
      </c>
      <c r="J293" s="71">
        <v>3.9542602513012115</v>
      </c>
      <c r="K293" s="71">
        <v>3.2817781220418762</v>
      </c>
      <c r="L293" s="71">
        <v>3.3826117584500572</v>
      </c>
      <c r="M293" s="71">
        <v>3.0333428871691983</v>
      </c>
      <c r="N293" s="71">
        <v>4.13203401165568</v>
      </c>
      <c r="O293" s="72" t="s">
        <v>8</v>
      </c>
      <c r="P293" s="18" t="s">
        <v>108</v>
      </c>
    </row>
    <row r="294" spans="1:16" x14ac:dyDescent="0.3">
      <c r="A294" s="64" t="s">
        <v>302</v>
      </c>
      <c r="B294" s="192" t="s">
        <v>88</v>
      </c>
      <c r="C294" s="71">
        <v>0</v>
      </c>
      <c r="D294" s="71">
        <v>0</v>
      </c>
      <c r="E294" s="71">
        <v>0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2" t="s">
        <v>8</v>
      </c>
      <c r="P294" s="18" t="s">
        <v>108</v>
      </c>
    </row>
    <row r="295" spans="1:16" x14ac:dyDescent="0.3">
      <c r="A295" s="49" t="s">
        <v>377</v>
      </c>
      <c r="B295" s="191" t="s">
        <v>88</v>
      </c>
      <c r="C295" s="71">
        <v>0</v>
      </c>
      <c r="D295" s="71">
        <v>0</v>
      </c>
      <c r="E295" s="71">
        <v>0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2"/>
      <c r="P295" s="58"/>
    </row>
    <row r="296" spans="1:16" x14ac:dyDescent="0.3">
      <c r="A296" s="64" t="s">
        <v>114</v>
      </c>
      <c r="B296" s="192" t="s">
        <v>88</v>
      </c>
      <c r="C296" s="71">
        <v>0</v>
      </c>
      <c r="D296" s="71">
        <v>0</v>
      </c>
      <c r="E296" s="71">
        <v>0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2" t="s">
        <v>8</v>
      </c>
      <c r="P296" s="18" t="s">
        <v>108</v>
      </c>
    </row>
    <row r="297" spans="1:16" x14ac:dyDescent="0.3">
      <c r="A297" s="64" t="s">
        <v>313</v>
      </c>
      <c r="B297" s="192" t="s">
        <v>88</v>
      </c>
      <c r="C297" s="71">
        <v>0</v>
      </c>
      <c r="D297" s="71">
        <v>0</v>
      </c>
      <c r="E297" s="71">
        <v>0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2" t="s">
        <v>8</v>
      </c>
      <c r="P297" s="18" t="s">
        <v>108</v>
      </c>
    </row>
    <row r="298" spans="1:16" x14ac:dyDescent="0.3">
      <c r="A298" s="64" t="s">
        <v>116</v>
      </c>
      <c r="B298" s="192" t="s">
        <v>88</v>
      </c>
      <c r="C298" s="71">
        <v>0</v>
      </c>
      <c r="D298" s="71">
        <v>0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2" t="s">
        <v>8</v>
      </c>
      <c r="P298" s="18" t="s">
        <v>108</v>
      </c>
    </row>
    <row r="299" spans="1:16" x14ac:dyDescent="0.3">
      <c r="A299" s="64" t="s">
        <v>117</v>
      </c>
      <c r="B299" s="192" t="s">
        <v>88</v>
      </c>
      <c r="C299" s="71">
        <v>0</v>
      </c>
      <c r="D299" s="71">
        <v>0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2" t="s">
        <v>8</v>
      </c>
      <c r="P299" s="18" t="s">
        <v>108</v>
      </c>
    </row>
    <row r="300" spans="1:16" x14ac:dyDescent="0.3">
      <c r="A300" s="49" t="s">
        <v>378</v>
      </c>
      <c r="B300" s="191" t="s">
        <v>88</v>
      </c>
      <c r="C300" s="71">
        <v>5.2068405464794116</v>
      </c>
      <c r="D300" s="71">
        <v>5.899493646699149</v>
      </c>
      <c r="E300" s="71">
        <v>6.9265310021973816</v>
      </c>
      <c r="F300" s="71">
        <v>7.0459539505111302</v>
      </c>
      <c r="G300" s="71">
        <v>7.8341454093818665</v>
      </c>
      <c r="H300" s="71">
        <v>5.3979172637814079</v>
      </c>
      <c r="I300" s="71">
        <v>5.0874175981656631</v>
      </c>
      <c r="J300" s="71">
        <v>5.1590713671539117</v>
      </c>
      <c r="K300" s="71">
        <v>5.2307251361421612</v>
      </c>
      <c r="L300" s="71">
        <v>4.5380720359224229</v>
      </c>
      <c r="M300" s="71">
        <v>5.9711474156873985</v>
      </c>
      <c r="N300" s="71">
        <v>9.3149899684723412</v>
      </c>
      <c r="O300" s="72" t="s">
        <v>8</v>
      </c>
      <c r="P300" s="18" t="s">
        <v>108</v>
      </c>
    </row>
    <row r="301" spans="1:16" x14ac:dyDescent="0.3">
      <c r="A301" s="49" t="s">
        <v>379</v>
      </c>
      <c r="B301" s="191" t="s">
        <v>88</v>
      </c>
      <c r="C301" s="71">
        <v>25.279449699054172</v>
      </c>
      <c r="D301" s="71">
        <v>25.193465176268269</v>
      </c>
      <c r="E301" s="71">
        <v>24.505588993981082</v>
      </c>
      <c r="F301" s="71">
        <v>22.35597592433362</v>
      </c>
      <c r="G301" s="71">
        <v>21.324161650902838</v>
      </c>
      <c r="H301" s="71">
        <v>21.496130696474633</v>
      </c>
      <c r="I301" s="71">
        <v>25.279449699054172</v>
      </c>
      <c r="J301" s="71">
        <v>25.96732588134136</v>
      </c>
      <c r="K301" s="71">
        <v>27.51504729148753</v>
      </c>
      <c r="L301" s="71">
        <v>19.41530524505589</v>
      </c>
      <c r="M301" s="71">
        <v>19.25097926817617</v>
      </c>
      <c r="N301" s="71">
        <v>23.526320817808347</v>
      </c>
      <c r="O301" s="72" t="s">
        <v>8</v>
      </c>
      <c r="P301" s="18" t="s">
        <v>108</v>
      </c>
    </row>
    <row r="302" spans="1:16" x14ac:dyDescent="0.3">
      <c r="A302" s="49" t="s">
        <v>380</v>
      </c>
      <c r="B302" s="191" t="s">
        <v>88</v>
      </c>
      <c r="C302" s="71">
        <v>0.62099933123148943</v>
      </c>
      <c r="D302" s="71">
        <v>1.2419986624629789</v>
      </c>
      <c r="E302" s="71">
        <v>0.74042227954523743</v>
      </c>
      <c r="F302" s="71">
        <v>0.74042227954523743</v>
      </c>
      <c r="G302" s="71">
        <v>0.76430686920798696</v>
      </c>
      <c r="H302" s="71">
        <v>0.83596063819623578</v>
      </c>
      <c r="I302" s="71">
        <v>1.0986911244864812</v>
      </c>
      <c r="J302" s="71">
        <v>1.0270373554982324</v>
      </c>
      <c r="K302" s="71">
        <v>1.3375370211139772</v>
      </c>
      <c r="L302" s="71">
        <v>1.1942294831374796</v>
      </c>
      <c r="M302" s="71">
        <v>1.0748065348237317</v>
      </c>
      <c r="N302" s="71">
        <v>0.76430686920798696</v>
      </c>
      <c r="O302" s="72" t="s">
        <v>8</v>
      </c>
      <c r="P302" s="18" t="s">
        <v>108</v>
      </c>
    </row>
    <row r="303" spans="1:16" x14ac:dyDescent="0.3">
      <c r="A303" s="50" t="s">
        <v>381</v>
      </c>
      <c r="B303" s="57" t="s">
        <v>88</v>
      </c>
      <c r="C303" s="210">
        <v>40.42807638828689</v>
      </c>
      <c r="D303" s="210">
        <v>42.070174299775225</v>
      </c>
      <c r="E303" s="210">
        <v>43.188185358384864</v>
      </c>
      <c r="F303" s="210">
        <v>40.159898681770535</v>
      </c>
      <c r="G303" s="210">
        <v>37.263111308760038</v>
      </c>
      <c r="H303" s="210">
        <v>34.834109984435308</v>
      </c>
      <c r="I303" s="210">
        <v>37.731528558772247</v>
      </c>
      <c r="J303" s="210">
        <v>37.194443684949817</v>
      </c>
      <c r="K303" s="210">
        <v>38.451836400440648</v>
      </c>
      <c r="L303" s="210">
        <v>31.885525678388912</v>
      </c>
      <c r="M303" s="210">
        <v>31.145504920225466</v>
      </c>
      <c r="N303" s="210">
        <v>38.931881150281839</v>
      </c>
      <c r="O303" s="72" t="s">
        <v>8</v>
      </c>
      <c r="P303" s="18" t="s">
        <v>108</v>
      </c>
    </row>
    <row r="304" spans="1:16" x14ac:dyDescent="0.3">
      <c r="A304" s="24" t="s">
        <v>102</v>
      </c>
      <c r="B304" s="25" t="s">
        <v>103</v>
      </c>
      <c r="C304" s="87">
        <f t="shared" ref="C304:N304" si="21">IFERROR((C289+C290+C291+C293+C294+C296+C297+C298+C299+C300+C301+C302)/C303,"")</f>
        <v>1</v>
      </c>
      <c r="D304" s="87">
        <f t="shared" si="21"/>
        <v>1</v>
      </c>
      <c r="E304" s="87">
        <f t="shared" si="21"/>
        <v>1</v>
      </c>
      <c r="F304" s="87">
        <f t="shared" si="21"/>
        <v>1</v>
      </c>
      <c r="G304" s="87">
        <f t="shared" si="21"/>
        <v>1</v>
      </c>
      <c r="H304" s="87">
        <f t="shared" si="21"/>
        <v>1</v>
      </c>
      <c r="I304" s="87">
        <f t="shared" si="21"/>
        <v>1</v>
      </c>
      <c r="J304" s="87">
        <f t="shared" si="21"/>
        <v>1</v>
      </c>
      <c r="K304" s="87">
        <f t="shared" si="21"/>
        <v>1</v>
      </c>
      <c r="L304" s="87">
        <f t="shared" si="21"/>
        <v>1</v>
      </c>
      <c r="M304" s="87">
        <f t="shared" si="21"/>
        <v>1.0000000000000002</v>
      </c>
      <c r="N304" s="87">
        <f t="shared" si="21"/>
        <v>0.99999999999999978</v>
      </c>
      <c r="O304" s="72"/>
      <c r="P304" s="49"/>
    </row>
    <row r="305" spans="1:16" x14ac:dyDescent="0.3">
      <c r="A305" s="49"/>
      <c r="B305" s="49"/>
      <c r="C305" s="87">
        <f t="shared" ref="C305:N305" si="22">IFERROR((C288+C292+C295+C300+C301+C302)/C303,"")</f>
        <v>1.0010981644251069</v>
      </c>
      <c r="D305" s="87">
        <f t="shared" si="22"/>
        <v>1</v>
      </c>
      <c r="E305" s="87">
        <f t="shared" si="22"/>
        <v>1.0000679127309067</v>
      </c>
      <c r="F305" s="87">
        <f t="shared" si="22"/>
        <v>1.000659920506767</v>
      </c>
      <c r="G305" s="87">
        <f t="shared" si="22"/>
        <v>1</v>
      </c>
      <c r="H305" s="87">
        <f t="shared" si="22"/>
        <v>1</v>
      </c>
      <c r="I305" s="87">
        <f t="shared" si="22"/>
        <v>1</v>
      </c>
      <c r="J305" s="87">
        <f t="shared" si="22"/>
        <v>1</v>
      </c>
      <c r="K305" s="87">
        <f t="shared" si="22"/>
        <v>1</v>
      </c>
      <c r="L305" s="87">
        <f t="shared" si="22"/>
        <v>1</v>
      </c>
      <c r="M305" s="87">
        <f t="shared" si="22"/>
        <v>1.0000000000000002</v>
      </c>
      <c r="N305" s="87">
        <f t="shared" si="22"/>
        <v>0.99999999999999978</v>
      </c>
      <c r="O305" s="72"/>
      <c r="P305" s="49"/>
    </row>
    <row r="306" spans="1:16" ht="15.6" x14ac:dyDescent="0.3">
      <c r="A306" s="8" t="s">
        <v>382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6" x14ac:dyDescent="0.3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6" x14ac:dyDescent="0.3">
      <c r="A308" s="49" t="s">
        <v>383</v>
      </c>
      <c r="B308" s="191" t="s">
        <v>88</v>
      </c>
      <c r="C308" s="71">
        <v>1.0103181427343078</v>
      </c>
      <c r="D308" s="71">
        <v>0.93675360657303897</v>
      </c>
      <c r="E308" s="71">
        <v>1.9470717493073466</v>
      </c>
      <c r="F308" s="71">
        <v>1.9470717493073466</v>
      </c>
      <c r="G308" s="71">
        <v>1.0103181427343078</v>
      </c>
      <c r="H308" s="71">
        <v>1.0103181427343078</v>
      </c>
      <c r="I308" s="71">
        <v>1.0103181427343078</v>
      </c>
      <c r="J308" s="71">
        <v>1.0103181427343078</v>
      </c>
      <c r="K308" s="71">
        <v>1.0103181427343078</v>
      </c>
      <c r="L308" s="71">
        <v>0.10103181427343079</v>
      </c>
      <c r="M308" s="71">
        <v>7.1653768988248781E-2</v>
      </c>
      <c r="N308" s="71">
        <v>7.1653768988248781E-2</v>
      </c>
      <c r="O308" s="72"/>
      <c r="P308" s="49"/>
    </row>
    <row r="309" spans="1:16" x14ac:dyDescent="0.3">
      <c r="A309" s="64" t="s">
        <v>298</v>
      </c>
      <c r="B309" s="192" t="s">
        <v>88</v>
      </c>
      <c r="C309" s="71">
        <v>1.0103181427343078</v>
      </c>
      <c r="D309" s="71">
        <v>0</v>
      </c>
      <c r="E309" s="71">
        <v>1.0103181427343078</v>
      </c>
      <c r="F309" s="71">
        <v>1.0103181427343078</v>
      </c>
      <c r="G309" s="71">
        <v>1.0103181427343078</v>
      </c>
      <c r="H309" s="71">
        <v>1.0103181427343078</v>
      </c>
      <c r="I309" s="71">
        <v>1.0103181427343078</v>
      </c>
      <c r="J309" s="71">
        <v>1.0103181427343078</v>
      </c>
      <c r="K309" s="71">
        <v>1.0103181427343078</v>
      </c>
      <c r="L309" s="71">
        <v>0.10103181427343079</v>
      </c>
      <c r="M309" s="71">
        <v>7.1653768988248781E-2</v>
      </c>
      <c r="N309" s="71">
        <v>7.1653768988248781E-2</v>
      </c>
      <c r="O309" s="72" t="s">
        <v>8</v>
      </c>
      <c r="P309" s="18" t="s">
        <v>108</v>
      </c>
    </row>
    <row r="310" spans="1:16" x14ac:dyDescent="0.3">
      <c r="A310" s="64" t="s">
        <v>110</v>
      </c>
      <c r="B310" s="192" t="s">
        <v>88</v>
      </c>
      <c r="C310" s="71">
        <v>0</v>
      </c>
      <c r="D310" s="71">
        <v>0.93675360657303897</v>
      </c>
      <c r="E310" s="71">
        <v>0.93675360657303897</v>
      </c>
      <c r="F310" s="71">
        <v>0.93675360657303897</v>
      </c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2" t="s">
        <v>8</v>
      </c>
      <c r="P310" s="18" t="s">
        <v>108</v>
      </c>
    </row>
    <row r="311" spans="1:16" x14ac:dyDescent="0.3">
      <c r="A311" s="64" t="s">
        <v>299</v>
      </c>
      <c r="B311" s="192" t="s">
        <v>88</v>
      </c>
      <c r="C311" s="71">
        <v>0</v>
      </c>
      <c r="D311" s="71">
        <v>0</v>
      </c>
      <c r="E311" s="71">
        <v>0</v>
      </c>
      <c r="F311" s="71">
        <v>0</v>
      </c>
      <c r="G311" s="71">
        <v>0</v>
      </c>
      <c r="H311" s="71">
        <v>0</v>
      </c>
      <c r="I311" s="71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72" t="s">
        <v>8</v>
      </c>
      <c r="P311" s="18" t="s">
        <v>108</v>
      </c>
    </row>
    <row r="312" spans="1:16" x14ac:dyDescent="0.3">
      <c r="A312" s="49" t="s">
        <v>384</v>
      </c>
      <c r="B312" s="191" t="s">
        <v>88</v>
      </c>
      <c r="C312" s="71">
        <v>1.2269937425782675</v>
      </c>
      <c r="D312" s="71">
        <v>1.2915723606087026</v>
      </c>
      <c r="E312" s="71">
        <v>1.5929392447507331</v>
      </c>
      <c r="F312" s="71">
        <v>1.9804109529333445</v>
      </c>
      <c r="G312" s="71">
        <v>1.8512537168724739</v>
      </c>
      <c r="H312" s="71">
        <v>2.0880419829840693</v>
      </c>
      <c r="I312" s="71">
        <v>1.9804109529333445</v>
      </c>
      <c r="J312" s="71">
        <v>1.8943061288927638</v>
      </c>
      <c r="K312" s="71">
        <v>1.6800663242716019</v>
      </c>
      <c r="L312" s="71">
        <v>1.0981668415298471</v>
      </c>
      <c r="M312" s="71">
        <v>0.74042227954523743</v>
      </c>
      <c r="N312" s="71">
        <v>0.83596063819623578</v>
      </c>
      <c r="O312" s="72"/>
      <c r="P312" s="58"/>
    </row>
    <row r="313" spans="1:16" x14ac:dyDescent="0.3">
      <c r="A313" s="64" t="s">
        <v>301</v>
      </c>
      <c r="B313" s="192" t="s">
        <v>88</v>
      </c>
      <c r="C313" s="71">
        <v>1.2269937425782675</v>
      </c>
      <c r="D313" s="71">
        <v>1.2915723606087026</v>
      </c>
      <c r="E313" s="71">
        <v>1.5929392447507331</v>
      </c>
      <c r="F313" s="71">
        <v>1.9804109529333445</v>
      </c>
      <c r="G313" s="71">
        <v>1.8512537168724739</v>
      </c>
      <c r="H313" s="71">
        <v>2.0880419829840693</v>
      </c>
      <c r="I313" s="71">
        <v>1.9804109529333445</v>
      </c>
      <c r="J313" s="71">
        <v>1.8943061288927638</v>
      </c>
      <c r="K313" s="71">
        <v>1.6800663242716019</v>
      </c>
      <c r="L313" s="71">
        <v>1.0981668415298471</v>
      </c>
      <c r="M313" s="71">
        <v>0.74042227954523743</v>
      </c>
      <c r="N313" s="71">
        <v>0.83596063819623578</v>
      </c>
      <c r="O313" s="72" t="s">
        <v>8</v>
      </c>
      <c r="P313" s="18" t="s">
        <v>108</v>
      </c>
    </row>
    <row r="314" spans="1:16" x14ac:dyDescent="0.3">
      <c r="A314" s="64" t="s">
        <v>302</v>
      </c>
      <c r="B314" s="192" t="s">
        <v>88</v>
      </c>
      <c r="C314" s="71">
        <v>0</v>
      </c>
      <c r="D314" s="71">
        <v>0</v>
      </c>
      <c r="E314" s="71">
        <v>0</v>
      </c>
      <c r="F314" s="71">
        <v>0</v>
      </c>
      <c r="G314" s="71">
        <v>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2" t="s">
        <v>8</v>
      </c>
      <c r="P314" s="18" t="s">
        <v>108</v>
      </c>
    </row>
    <row r="315" spans="1:16" x14ac:dyDescent="0.3">
      <c r="A315" s="49" t="s">
        <v>385</v>
      </c>
      <c r="B315" s="191" t="s">
        <v>88</v>
      </c>
      <c r="C315" s="71">
        <v>0</v>
      </c>
      <c r="D315" s="71">
        <v>0</v>
      </c>
      <c r="E315" s="71">
        <v>0</v>
      </c>
      <c r="F315" s="71">
        <v>0</v>
      </c>
      <c r="G315" s="71">
        <v>0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2"/>
      <c r="P315" s="58"/>
    </row>
    <row r="316" spans="1:16" x14ac:dyDescent="0.3">
      <c r="A316" s="64" t="s">
        <v>114</v>
      </c>
      <c r="B316" s="192" t="s">
        <v>88</v>
      </c>
      <c r="C316" s="71">
        <v>0</v>
      </c>
      <c r="D316" s="71">
        <v>0</v>
      </c>
      <c r="E316" s="71">
        <v>0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2" t="s">
        <v>8</v>
      </c>
      <c r="P316" s="18" t="s">
        <v>108</v>
      </c>
    </row>
    <row r="317" spans="1:16" x14ac:dyDescent="0.3">
      <c r="A317" s="64" t="s">
        <v>313</v>
      </c>
      <c r="B317" s="192" t="s">
        <v>88</v>
      </c>
      <c r="C317" s="71">
        <v>0</v>
      </c>
      <c r="D317" s="71">
        <v>0</v>
      </c>
      <c r="E317" s="71">
        <v>0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2" t="s">
        <v>8</v>
      </c>
      <c r="P317" s="18" t="s">
        <v>108</v>
      </c>
    </row>
    <row r="318" spans="1:16" x14ac:dyDescent="0.3">
      <c r="A318" s="64" t="s">
        <v>116</v>
      </c>
      <c r="B318" s="192" t="s">
        <v>88</v>
      </c>
      <c r="C318" s="71">
        <v>0</v>
      </c>
      <c r="D318" s="71">
        <v>0</v>
      </c>
      <c r="E318" s="71">
        <v>0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2" t="s">
        <v>8</v>
      </c>
      <c r="P318" s="18" t="s">
        <v>108</v>
      </c>
    </row>
    <row r="319" spans="1:16" x14ac:dyDescent="0.3">
      <c r="A319" s="64" t="s">
        <v>117</v>
      </c>
      <c r="B319" s="192" t="s">
        <v>88</v>
      </c>
      <c r="C319" s="71">
        <v>0</v>
      </c>
      <c r="D319" s="71">
        <v>0</v>
      </c>
      <c r="E319" s="71">
        <v>0</v>
      </c>
      <c r="F319" s="71">
        <v>0</v>
      </c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2" t="s">
        <v>8</v>
      </c>
      <c r="P319" s="18" t="s">
        <v>108</v>
      </c>
    </row>
    <row r="320" spans="1:16" x14ac:dyDescent="0.3">
      <c r="A320" s="49" t="s">
        <v>386</v>
      </c>
      <c r="B320" s="191" t="s">
        <v>88</v>
      </c>
      <c r="C320" s="71">
        <v>1.5047291487532244</v>
      </c>
      <c r="D320" s="71">
        <v>0.85984522785898532</v>
      </c>
      <c r="E320" s="71">
        <v>1.5047291487532244</v>
      </c>
      <c r="F320" s="71">
        <v>1.7674596350434699</v>
      </c>
      <c r="G320" s="71">
        <v>1.9107671730199673</v>
      </c>
      <c r="H320" s="71">
        <v>1.4808445590904749</v>
      </c>
      <c r="I320" s="71">
        <v>1.5286137384159739</v>
      </c>
      <c r="J320" s="71">
        <v>1.5047291487532244</v>
      </c>
      <c r="K320" s="71">
        <v>1.9346517626827171</v>
      </c>
      <c r="L320" s="71">
        <v>1.6719212763924716</v>
      </c>
      <c r="M320" s="71">
        <v>1.7196904557179706</v>
      </c>
      <c r="N320" s="71">
        <v>1.9585363523454666</v>
      </c>
      <c r="O320" s="72" t="s">
        <v>8</v>
      </c>
      <c r="P320" s="18" t="s">
        <v>108</v>
      </c>
    </row>
    <row r="321" spans="1:16" x14ac:dyDescent="0.3">
      <c r="A321" s="49" t="s">
        <v>387</v>
      </c>
      <c r="B321" s="191" t="s">
        <v>88</v>
      </c>
      <c r="C321" s="71">
        <v>3.4393809114359413</v>
      </c>
      <c r="D321" s="71">
        <v>3.7833190025795358</v>
      </c>
      <c r="E321" s="71">
        <v>5.2450558899398105</v>
      </c>
      <c r="F321" s="71">
        <v>6.0189165950128976</v>
      </c>
      <c r="G321" s="71">
        <v>5.2450558899398105</v>
      </c>
      <c r="H321" s="71">
        <v>5.5889939810834051</v>
      </c>
      <c r="I321" s="71">
        <v>5.7609630266552019</v>
      </c>
      <c r="J321" s="71">
        <v>6.1908856405846944</v>
      </c>
      <c r="K321" s="71">
        <v>7.0507308684436794</v>
      </c>
      <c r="L321" s="71">
        <v>5.0988822012037831</v>
      </c>
      <c r="M321" s="71">
        <v>5.0635330085029135</v>
      </c>
      <c r="N321" s="71">
        <v>4.9202254705264163</v>
      </c>
      <c r="O321" s="72" t="s">
        <v>8</v>
      </c>
      <c r="P321" s="18" t="s">
        <v>108</v>
      </c>
    </row>
    <row r="322" spans="1:16" x14ac:dyDescent="0.3">
      <c r="A322" s="49" t="s">
        <v>388</v>
      </c>
      <c r="B322" s="191" t="s">
        <v>88</v>
      </c>
      <c r="C322" s="71">
        <v>0.19107671730199674</v>
      </c>
      <c r="D322" s="71">
        <v>0.11942294831374796</v>
      </c>
      <c r="E322" s="71">
        <v>0.14330753797649756</v>
      </c>
      <c r="F322" s="71">
        <v>0.28661507595299512</v>
      </c>
      <c r="G322" s="71">
        <v>0.28661507595299512</v>
      </c>
      <c r="H322" s="71">
        <v>0.35826884494124389</v>
      </c>
      <c r="I322" s="71">
        <v>0.38215343460399348</v>
      </c>
      <c r="J322" s="71">
        <v>0.3343842552784943</v>
      </c>
      <c r="K322" s="71">
        <v>0.16719212763924715</v>
      </c>
      <c r="L322" s="71">
        <v>0.41081494219929299</v>
      </c>
      <c r="M322" s="71">
        <v>0.35826884494124389</v>
      </c>
      <c r="N322" s="71">
        <v>0.45380720359224225</v>
      </c>
      <c r="O322" s="72" t="s">
        <v>8</v>
      </c>
      <c r="P322" s="18" t="s">
        <v>108</v>
      </c>
    </row>
    <row r="323" spans="1:16" x14ac:dyDescent="0.3">
      <c r="A323" s="50" t="s">
        <v>389</v>
      </c>
      <c r="B323" s="57" t="s">
        <v>88</v>
      </c>
      <c r="C323" s="94">
        <v>7.3710000000000004</v>
      </c>
      <c r="D323" s="94">
        <v>6.9889999999999999</v>
      </c>
      <c r="E323" s="94">
        <v>10.430999999999999</v>
      </c>
      <c r="F323" s="94">
        <v>11.997999999999999</v>
      </c>
      <c r="G323" s="94">
        <v>10.301</v>
      </c>
      <c r="H323" s="94">
        <v>10.523999999999999</v>
      </c>
      <c r="I323" s="94">
        <v>10.66</v>
      </c>
      <c r="J323" s="94">
        <v>10.932</v>
      </c>
      <c r="K323" s="94">
        <v>11.843</v>
      </c>
      <c r="L323" s="94">
        <v>8.3808170755988254</v>
      </c>
      <c r="M323" s="94">
        <v>7.9535683576956142</v>
      </c>
      <c r="N323" s="94">
        <v>8.2401834336486104</v>
      </c>
      <c r="O323" s="72" t="s">
        <v>8</v>
      </c>
      <c r="P323" s="18" t="s">
        <v>108</v>
      </c>
    </row>
    <row r="324" spans="1:16" x14ac:dyDescent="0.3">
      <c r="A324" s="24" t="s">
        <v>102</v>
      </c>
      <c r="B324" s="25" t="s">
        <v>103</v>
      </c>
      <c r="C324" s="87">
        <f t="shared" ref="C324:N324" si="23">IFERROR((C309+C310+C311+C313+C314+C316+C317+C318+C319+C320+C321+C322)/C323,"")</f>
        <v>1.0002033187903592</v>
      </c>
      <c r="D324" s="87">
        <f t="shared" si="23"/>
        <v>1.0002737367197039</v>
      </c>
      <c r="E324" s="87">
        <f t="shared" si="23"/>
        <v>1.0002016652984003</v>
      </c>
      <c r="F324" s="87">
        <f t="shared" si="23"/>
        <v>1.0002062017211246</v>
      </c>
      <c r="G324" s="87">
        <f t="shared" si="23"/>
        <v>1.0002922044966074</v>
      </c>
      <c r="H324" s="87">
        <f t="shared" si="23"/>
        <v>1.0002344651115074</v>
      </c>
      <c r="I324" s="87">
        <f t="shared" si="23"/>
        <v>1.0002307031278446</v>
      </c>
      <c r="J324" s="87">
        <f t="shared" si="23"/>
        <v>1.0002399667255291</v>
      </c>
      <c r="K324" s="87">
        <f t="shared" si="23"/>
        <v>0.99999655710306112</v>
      </c>
      <c r="L324" s="87">
        <f t="shared" si="23"/>
        <v>1</v>
      </c>
      <c r="M324" s="87">
        <f t="shared" si="23"/>
        <v>1</v>
      </c>
      <c r="N324" s="87">
        <f t="shared" si="23"/>
        <v>1</v>
      </c>
      <c r="O324" s="72"/>
      <c r="P324" s="49"/>
    </row>
    <row r="325" spans="1:16" x14ac:dyDescent="0.3">
      <c r="A325" s="49"/>
      <c r="B325" s="49"/>
      <c r="C325" s="87">
        <f t="shared" ref="C325:N325" si="24">IFERROR((C308+C312+C315+C320+C321+C322)/C323,"")</f>
        <v>1.0002033187903592</v>
      </c>
      <c r="D325" s="87">
        <f t="shared" si="24"/>
        <v>1.0002737367197039</v>
      </c>
      <c r="E325" s="87">
        <f t="shared" si="24"/>
        <v>1.0002016652984003</v>
      </c>
      <c r="F325" s="87">
        <f t="shared" si="24"/>
        <v>1.0002062017211246</v>
      </c>
      <c r="G325" s="87">
        <f t="shared" si="24"/>
        <v>1.0002922044966074</v>
      </c>
      <c r="H325" s="87">
        <f t="shared" si="24"/>
        <v>1.0002344651115074</v>
      </c>
      <c r="I325" s="87">
        <f t="shared" si="24"/>
        <v>1.0002307031278446</v>
      </c>
      <c r="J325" s="87">
        <f t="shared" si="24"/>
        <v>1.0002399667255291</v>
      </c>
      <c r="K325" s="87">
        <f t="shared" si="24"/>
        <v>0.99999655710306112</v>
      </c>
      <c r="L325" s="87">
        <f t="shared" si="24"/>
        <v>1</v>
      </c>
      <c r="M325" s="87">
        <f t="shared" si="24"/>
        <v>1</v>
      </c>
      <c r="N325" s="87">
        <f t="shared" si="24"/>
        <v>1</v>
      </c>
      <c r="O325" s="72"/>
      <c r="P325" s="49"/>
    </row>
    <row r="326" spans="1:16" ht="15.6" x14ac:dyDescent="0.3">
      <c r="A326" s="8" t="s">
        <v>390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spans="1:16" x14ac:dyDescent="0.3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72"/>
      <c r="P327" s="49"/>
    </row>
    <row r="328" spans="1:16" x14ac:dyDescent="0.3">
      <c r="A328" s="49" t="s">
        <v>383</v>
      </c>
      <c r="B328" s="191" t="s">
        <v>88</v>
      </c>
      <c r="C328" s="71">
        <v>2</v>
      </c>
      <c r="D328" s="71">
        <v>0</v>
      </c>
      <c r="E328" s="71">
        <v>4.0999999999999996</v>
      </c>
      <c r="F328" s="71">
        <v>1</v>
      </c>
      <c r="G328" s="71">
        <v>1.0103181427343078</v>
      </c>
      <c r="H328" s="71">
        <v>2.0971147415687397</v>
      </c>
      <c r="I328" s="71">
        <v>1.0103181427343078</v>
      </c>
      <c r="J328" s="71">
        <v>2.0970669723894142</v>
      </c>
      <c r="K328" s="71">
        <v>2.0970669723894142</v>
      </c>
      <c r="L328" s="71">
        <v>1.1877806439285372</v>
      </c>
      <c r="M328" s="71">
        <v>0.62099933123148943</v>
      </c>
      <c r="N328" s="71">
        <v>0</v>
      </c>
      <c r="O328" s="72" t="s">
        <v>8</v>
      </c>
      <c r="P328" s="18" t="s">
        <v>108</v>
      </c>
    </row>
    <row r="329" spans="1:16" x14ac:dyDescent="0.3">
      <c r="A329" s="64" t="s">
        <v>298</v>
      </c>
      <c r="B329" s="192" t="s">
        <v>88</v>
      </c>
      <c r="C329" s="68">
        <v>2.0206362854686155</v>
      </c>
      <c r="D329" s="68">
        <v>0</v>
      </c>
      <c r="E329" s="68">
        <v>3.0309544282029233</v>
      </c>
      <c r="F329" s="68">
        <v>1.0103181427343078</v>
      </c>
      <c r="G329" s="68">
        <v>1.0103181427343078</v>
      </c>
      <c r="H329" s="68">
        <v>1.0103420273239705</v>
      </c>
      <c r="I329" s="68">
        <v>1.0103181427343078</v>
      </c>
      <c r="J329" s="68">
        <v>1.0103181427343078</v>
      </c>
      <c r="K329" s="68">
        <v>1.0103181427343078</v>
      </c>
      <c r="L329" s="68">
        <v>0.10103181427343079</v>
      </c>
      <c r="M329" s="71">
        <v>0.21496130696474633</v>
      </c>
      <c r="N329" s="71">
        <v>0</v>
      </c>
      <c r="O329" s="72" t="s">
        <v>8</v>
      </c>
      <c r="P329" s="18" t="s">
        <v>108</v>
      </c>
    </row>
    <row r="330" spans="1:16" x14ac:dyDescent="0.3">
      <c r="A330" s="64" t="s">
        <v>110</v>
      </c>
      <c r="B330" s="192" t="s">
        <v>88</v>
      </c>
      <c r="C330" s="68">
        <v>0</v>
      </c>
      <c r="D330" s="68">
        <v>0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71">
        <v>0</v>
      </c>
      <c r="N330" s="71">
        <v>0</v>
      </c>
      <c r="O330" s="72" t="s">
        <v>8</v>
      </c>
      <c r="P330" s="18" t="s">
        <v>108</v>
      </c>
    </row>
    <row r="331" spans="1:16" x14ac:dyDescent="0.3">
      <c r="A331" s="64" t="s">
        <v>299</v>
      </c>
      <c r="B331" s="192" t="s">
        <v>88</v>
      </c>
      <c r="C331" s="68">
        <v>0</v>
      </c>
      <c r="D331" s="68">
        <v>0</v>
      </c>
      <c r="E331" s="68">
        <v>1.0867488296551064</v>
      </c>
      <c r="F331" s="68">
        <v>0</v>
      </c>
      <c r="G331" s="68">
        <v>0</v>
      </c>
      <c r="H331" s="68">
        <v>1.0867727142447692</v>
      </c>
      <c r="I331" s="68">
        <v>0</v>
      </c>
      <c r="J331" s="68">
        <v>1.0867488296551064</v>
      </c>
      <c r="K331" s="68">
        <v>1.0867488296551064</v>
      </c>
      <c r="L331" s="68">
        <v>1.0867488296551064</v>
      </c>
      <c r="M331" s="71">
        <v>0.40603802426674307</v>
      </c>
      <c r="N331" s="71">
        <v>0</v>
      </c>
      <c r="O331" s="72"/>
      <c r="P331" s="58"/>
    </row>
    <row r="332" spans="1:16" x14ac:dyDescent="0.3">
      <c r="A332" s="49" t="s">
        <v>384</v>
      </c>
      <c r="B332" s="191" t="s">
        <v>88</v>
      </c>
      <c r="C332" s="68">
        <v>3.8682980719250972</v>
      </c>
      <c r="D332" s="68">
        <v>5.2436929419429097</v>
      </c>
      <c r="E332" s="68">
        <v>5.9098998321077874</v>
      </c>
      <c r="F332" s="68">
        <v>5.8669187424197311</v>
      </c>
      <c r="G332" s="68">
        <v>3.6963737131728713</v>
      </c>
      <c r="H332" s="68">
        <v>3.1591100920721629</v>
      </c>
      <c r="I332" s="68">
        <v>3.8897886167691258</v>
      </c>
      <c r="J332" s="68">
        <v>2.9871857333199365</v>
      </c>
      <c r="K332" s="68">
        <v>3.7899435454237707</v>
      </c>
      <c r="L332" s="68">
        <v>3.337481614277598</v>
      </c>
      <c r="M332" s="71">
        <v>0.5493455622432406</v>
      </c>
      <c r="N332" s="71">
        <v>1.6719212763924716</v>
      </c>
      <c r="O332" s="72" t="s">
        <v>8</v>
      </c>
      <c r="P332" s="18" t="s">
        <v>108</v>
      </c>
    </row>
    <row r="333" spans="1:16" x14ac:dyDescent="0.3">
      <c r="A333" s="64" t="s">
        <v>301</v>
      </c>
      <c r="B333" s="192" t="s">
        <v>88</v>
      </c>
      <c r="C333" s="68">
        <v>3.8682980719250972</v>
      </c>
      <c r="D333" s="68">
        <v>5.2436929419429097</v>
      </c>
      <c r="E333" s="68">
        <v>5.9098998321077874</v>
      </c>
      <c r="F333" s="68">
        <v>5.8669187424197311</v>
      </c>
      <c r="G333" s="68">
        <v>3.6963737131728713</v>
      </c>
      <c r="H333" s="68">
        <v>3.1591100920721629</v>
      </c>
      <c r="I333" s="68">
        <v>3.8897886167691258</v>
      </c>
      <c r="J333" s="68">
        <v>2.9871857333199365</v>
      </c>
      <c r="K333" s="68">
        <v>3.7899435454237707</v>
      </c>
      <c r="L333" s="68">
        <v>3.337481614277598</v>
      </c>
      <c r="M333" s="71">
        <v>0.5493455622432406</v>
      </c>
      <c r="N333" s="71">
        <v>1.6719212763924716</v>
      </c>
      <c r="O333" s="72" t="s">
        <v>8</v>
      </c>
      <c r="P333" s="18" t="s">
        <v>108</v>
      </c>
    </row>
    <row r="334" spans="1:16" x14ac:dyDescent="0.3">
      <c r="A334" s="64" t="s">
        <v>302</v>
      </c>
      <c r="B334" s="192" t="s">
        <v>88</v>
      </c>
      <c r="C334" s="68">
        <v>0</v>
      </c>
      <c r="D334" s="68">
        <v>0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71">
        <v>0</v>
      </c>
      <c r="N334" s="71">
        <v>0</v>
      </c>
      <c r="O334" s="72"/>
      <c r="P334" s="58"/>
    </row>
    <row r="335" spans="1:16" x14ac:dyDescent="0.3">
      <c r="A335" s="49" t="s">
        <v>385</v>
      </c>
      <c r="B335" s="191" t="s">
        <v>88</v>
      </c>
      <c r="C335" s="68">
        <v>0</v>
      </c>
      <c r="D335" s="68">
        <v>0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71">
        <v>0</v>
      </c>
      <c r="N335" s="71">
        <v>0</v>
      </c>
      <c r="O335" s="72" t="s">
        <v>8</v>
      </c>
      <c r="P335" s="18" t="s">
        <v>108</v>
      </c>
    </row>
    <row r="336" spans="1:16" x14ac:dyDescent="0.3">
      <c r="A336" s="64" t="s">
        <v>114</v>
      </c>
      <c r="B336" s="192" t="s">
        <v>88</v>
      </c>
      <c r="C336" s="68">
        <v>0</v>
      </c>
      <c r="D336" s="68">
        <v>0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71">
        <v>0</v>
      </c>
      <c r="N336" s="71">
        <v>0</v>
      </c>
      <c r="O336" s="72" t="s">
        <v>8</v>
      </c>
      <c r="P336" s="18" t="s">
        <v>108</v>
      </c>
    </row>
    <row r="337" spans="1:16" x14ac:dyDescent="0.3">
      <c r="A337" s="64" t="s">
        <v>313</v>
      </c>
      <c r="B337" s="192" t="s">
        <v>88</v>
      </c>
      <c r="C337" s="68">
        <v>0</v>
      </c>
      <c r="D337" s="68">
        <v>0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8">
        <v>0</v>
      </c>
      <c r="L337" s="68">
        <v>0</v>
      </c>
      <c r="M337" s="71">
        <v>0</v>
      </c>
      <c r="N337" s="71">
        <v>0</v>
      </c>
      <c r="O337" s="72" t="s">
        <v>8</v>
      </c>
      <c r="P337" s="18" t="s">
        <v>108</v>
      </c>
    </row>
    <row r="338" spans="1:16" x14ac:dyDescent="0.3">
      <c r="A338" s="64" t="s">
        <v>116</v>
      </c>
      <c r="B338" s="192" t="s">
        <v>88</v>
      </c>
      <c r="C338" s="68">
        <v>0</v>
      </c>
      <c r="D338" s="68">
        <v>0</v>
      </c>
      <c r="E338" s="68">
        <v>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0</v>
      </c>
      <c r="M338" s="71">
        <v>0</v>
      </c>
      <c r="N338" s="71">
        <v>0</v>
      </c>
      <c r="O338" s="72" t="s">
        <v>8</v>
      </c>
      <c r="P338" s="18" t="s">
        <v>108</v>
      </c>
    </row>
    <row r="339" spans="1:16" x14ac:dyDescent="0.3">
      <c r="A339" s="64" t="s">
        <v>117</v>
      </c>
      <c r="B339" s="192" t="s">
        <v>88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71">
        <v>0</v>
      </c>
      <c r="N339" s="71">
        <v>0</v>
      </c>
      <c r="O339" s="72" t="s">
        <v>8</v>
      </c>
      <c r="P339" s="18" t="s">
        <v>108</v>
      </c>
    </row>
    <row r="340" spans="1:16" x14ac:dyDescent="0.3">
      <c r="A340" s="49" t="s">
        <v>386</v>
      </c>
      <c r="B340" s="191" t="s">
        <v>88</v>
      </c>
      <c r="C340" s="71">
        <v>5.7323015190599023</v>
      </c>
      <c r="D340" s="71">
        <v>2.6273048629024554</v>
      </c>
      <c r="E340" s="71">
        <v>1.409190790102226</v>
      </c>
      <c r="F340" s="71">
        <v>0.95538358650998367</v>
      </c>
      <c r="G340" s="71">
        <v>1.4808445590904749</v>
      </c>
      <c r="H340" s="71">
        <v>2.292920607623961</v>
      </c>
      <c r="I340" s="71">
        <v>2.698958631890704</v>
      </c>
      <c r="J340" s="71">
        <v>2.5078819145887072</v>
      </c>
      <c r="K340" s="76">
        <v>2.1734976593102129</v>
      </c>
      <c r="L340" s="76">
        <v>2.2212668386357119</v>
      </c>
      <c r="M340" s="71">
        <v>2.1496130696474633</v>
      </c>
      <c r="N340" s="71">
        <v>0.62099933123148943</v>
      </c>
      <c r="O340" s="72" t="s">
        <v>8</v>
      </c>
      <c r="P340" s="18" t="s">
        <v>108</v>
      </c>
    </row>
    <row r="341" spans="1:16" x14ac:dyDescent="0.3">
      <c r="A341" s="49" t="s">
        <v>387</v>
      </c>
      <c r="B341" s="191" t="s">
        <v>88</v>
      </c>
      <c r="C341" s="71">
        <v>15.391229578675837</v>
      </c>
      <c r="D341" s="71">
        <v>16.766981943250215</v>
      </c>
      <c r="E341" s="71">
        <v>17.970765262252794</v>
      </c>
      <c r="F341" s="71">
        <v>15.219260533104041</v>
      </c>
      <c r="G341" s="71">
        <v>15.563198624247635</v>
      </c>
      <c r="H341" s="71">
        <v>15.907136715391228</v>
      </c>
      <c r="I341" s="71">
        <v>17.196904557179707</v>
      </c>
      <c r="J341" s="71">
        <v>16.50902837489252</v>
      </c>
      <c r="K341" s="71">
        <v>15.391229578675837</v>
      </c>
      <c r="L341" s="71">
        <v>13.602751504729147</v>
      </c>
      <c r="M341" s="71">
        <v>14.068023311359511</v>
      </c>
      <c r="N341" s="71">
        <v>15.787713767077481</v>
      </c>
      <c r="O341" s="72" t="s">
        <v>8</v>
      </c>
      <c r="P341" s="18" t="s">
        <v>108</v>
      </c>
    </row>
    <row r="342" spans="1:16" x14ac:dyDescent="0.3">
      <c r="A342" s="49" t="s">
        <v>388</v>
      </c>
      <c r="B342" s="191" t="s">
        <v>88</v>
      </c>
      <c r="C342" s="71">
        <v>19.346517626827172</v>
      </c>
      <c r="D342" s="71">
        <v>20.230247444348905</v>
      </c>
      <c r="E342" s="71">
        <v>11.822871883061049</v>
      </c>
      <c r="F342" s="71">
        <v>4.3231107289576762</v>
      </c>
      <c r="G342" s="71">
        <v>4.7769179325499183</v>
      </c>
      <c r="H342" s="71">
        <v>10.748065348237317</v>
      </c>
      <c r="I342" s="71">
        <v>0.45380720359224225</v>
      </c>
      <c r="J342" s="71">
        <v>0.47769179325499184</v>
      </c>
      <c r="K342" s="68">
        <v>0.40603802426674307</v>
      </c>
      <c r="L342" s="68">
        <v>0.46336103945734208</v>
      </c>
      <c r="M342" s="71">
        <v>0.59711474156873978</v>
      </c>
      <c r="N342" s="71">
        <v>1.1942294831374796</v>
      </c>
      <c r="O342" s="72" t="s">
        <v>8</v>
      </c>
      <c r="P342" s="18" t="s">
        <v>108</v>
      </c>
    </row>
    <row r="343" spans="1:16" x14ac:dyDescent="0.3">
      <c r="A343" s="50" t="s">
        <v>389</v>
      </c>
      <c r="B343" s="193" t="s">
        <v>88</v>
      </c>
      <c r="C343" s="211">
        <v>46.358983081956623</v>
      </c>
      <c r="D343" s="211">
        <v>44.868227192444486</v>
      </c>
      <c r="E343" s="211">
        <v>41.23043102538189</v>
      </c>
      <c r="F343" s="211">
        <v>27.374991733725743</v>
      </c>
      <c r="G343" s="211">
        <v>26.527652971795206</v>
      </c>
      <c r="H343" s="211">
        <v>34.204299735714088</v>
      </c>
      <c r="I343" s="211">
        <v>25.249777152166082</v>
      </c>
      <c r="J343" s="211">
        <v>24.578854788445568</v>
      </c>
      <c r="K343" s="211">
        <v>23.857775780065978</v>
      </c>
      <c r="L343" s="211">
        <v>20.812641641028339</v>
      </c>
      <c r="M343" s="211">
        <v>17.985096016050441</v>
      </c>
      <c r="N343" s="211">
        <v>19.27486385783892</v>
      </c>
      <c r="O343" s="72"/>
      <c r="P343" s="49"/>
    </row>
    <row r="344" spans="1:16" x14ac:dyDescent="0.3">
      <c r="A344" s="24" t="s">
        <v>102</v>
      </c>
      <c r="B344" s="25" t="s">
        <v>103</v>
      </c>
      <c r="C344" s="87">
        <f t="shared" ref="C344:N344" si="25">IFERROR((C329+C330+C331+C333+C334+C336+C337+C338+C339+C340+C341+C342)/C343,"")</f>
        <v>1</v>
      </c>
      <c r="D344" s="87">
        <f t="shared" si="25"/>
        <v>1</v>
      </c>
      <c r="E344" s="87">
        <f t="shared" si="25"/>
        <v>0.99999999999999978</v>
      </c>
      <c r="F344" s="87">
        <f t="shared" si="25"/>
        <v>0.99999999999999989</v>
      </c>
      <c r="G344" s="87">
        <f t="shared" si="25"/>
        <v>1</v>
      </c>
      <c r="H344" s="87">
        <f t="shared" si="25"/>
        <v>1.0000013965840462</v>
      </c>
      <c r="I344" s="87">
        <f t="shared" si="25"/>
        <v>1.0000000000000002</v>
      </c>
      <c r="J344" s="87">
        <f t="shared" si="25"/>
        <v>1</v>
      </c>
      <c r="K344" s="87">
        <f t="shared" si="25"/>
        <v>1</v>
      </c>
      <c r="L344" s="87">
        <f t="shared" si="25"/>
        <v>1</v>
      </c>
      <c r="M344" s="87">
        <f t="shared" si="25"/>
        <v>1</v>
      </c>
      <c r="N344" s="87">
        <f t="shared" si="25"/>
        <v>1.0000000000000002</v>
      </c>
      <c r="O344" s="72"/>
      <c r="P344" s="49"/>
    </row>
    <row r="345" spans="1:16" x14ac:dyDescent="0.3">
      <c r="A345" s="49"/>
      <c r="B345" s="49"/>
      <c r="C345" s="87">
        <f t="shared" ref="C345:N345" si="26">IFERROR((C328+C332+C335+C340+C341+C342)/C343,"")</f>
        <v>0.99955485897022089</v>
      </c>
      <c r="D345" s="87">
        <f t="shared" si="26"/>
        <v>1</v>
      </c>
      <c r="E345" s="87">
        <f t="shared" si="26"/>
        <v>0.99957062641796945</v>
      </c>
      <c r="F345" s="87">
        <f t="shared" si="26"/>
        <v>0.99962308143013623</v>
      </c>
      <c r="G345" s="87">
        <f t="shared" si="26"/>
        <v>1</v>
      </c>
      <c r="H345" s="87">
        <f t="shared" si="26"/>
        <v>1.0000013965840462</v>
      </c>
      <c r="I345" s="87">
        <f t="shared" si="26"/>
        <v>1.0000000000000002</v>
      </c>
      <c r="J345" s="87">
        <f t="shared" si="26"/>
        <v>1</v>
      </c>
      <c r="K345" s="87">
        <f t="shared" si="26"/>
        <v>1</v>
      </c>
      <c r="L345" s="87">
        <f t="shared" si="26"/>
        <v>1</v>
      </c>
      <c r="M345" s="87">
        <f t="shared" si="26"/>
        <v>1</v>
      </c>
      <c r="N345" s="87">
        <f t="shared" si="26"/>
        <v>1.0000000000000002</v>
      </c>
      <c r="O345" s="49"/>
      <c r="P345" s="49"/>
    </row>
    <row r="346" spans="1:16" x14ac:dyDescent="0.3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spans="1:16" ht="18" x14ac:dyDescent="0.35">
      <c r="A347" s="48" t="s">
        <v>391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x14ac:dyDescent="0.3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spans="1:16" ht="15.6" x14ac:dyDescent="0.3">
      <c r="A349" s="8" t="s">
        <v>392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spans="1:16" x14ac:dyDescent="0.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spans="1:16" x14ac:dyDescent="0.3">
      <c r="A351" s="49" t="s">
        <v>393</v>
      </c>
      <c r="B351" s="191" t="s">
        <v>88</v>
      </c>
      <c r="C351" s="71">
        <v>4.041272570937231</v>
      </c>
      <c r="D351" s="71">
        <v>4.041272570937231</v>
      </c>
      <c r="E351" s="71">
        <v>6.0619088564058465</v>
      </c>
      <c r="F351" s="71">
        <v>6.0619088564058465</v>
      </c>
      <c r="G351" s="71">
        <v>5.0515907136715388</v>
      </c>
      <c r="H351" s="71">
        <v>5.0517101366198522</v>
      </c>
      <c r="I351" s="71">
        <v>5.0515907136715388</v>
      </c>
      <c r="J351" s="71">
        <v>4.041368109295882</v>
      </c>
      <c r="K351" s="71">
        <v>3.0310260819719117</v>
      </c>
      <c r="L351" s="71">
        <v>1.0179612114263876</v>
      </c>
      <c r="M351" s="71">
        <v>0.47769179325499184</v>
      </c>
      <c r="N351" s="71">
        <v>0.52546097258049107</v>
      </c>
      <c r="O351" s="72" t="s">
        <v>8</v>
      </c>
      <c r="P351" s="18" t="s">
        <v>108</v>
      </c>
    </row>
    <row r="352" spans="1:16" x14ac:dyDescent="0.3">
      <c r="A352" s="64" t="s">
        <v>298</v>
      </c>
      <c r="B352" s="192" t="s">
        <v>88</v>
      </c>
      <c r="C352" s="68">
        <v>4.041272570937231</v>
      </c>
      <c r="D352" s="68">
        <v>4.041272570937231</v>
      </c>
      <c r="E352" s="68">
        <v>6.0619088564058465</v>
      </c>
      <c r="F352" s="68">
        <v>6.0619088564058465</v>
      </c>
      <c r="G352" s="68">
        <v>5.0515907136715388</v>
      </c>
      <c r="H352" s="68">
        <v>5.0517101366198522</v>
      </c>
      <c r="I352" s="68">
        <v>5.0515907136715388</v>
      </c>
      <c r="J352" s="68">
        <v>4.041368109295882</v>
      </c>
      <c r="K352" s="68">
        <v>3.0310260819719117</v>
      </c>
      <c r="L352" s="68">
        <v>0.90928632846087698</v>
      </c>
      <c r="M352" s="71">
        <v>0.35826884494124389</v>
      </c>
      <c r="N352" s="71">
        <v>0.40603802426674307</v>
      </c>
      <c r="O352" s="72" t="s">
        <v>8</v>
      </c>
      <c r="P352" s="18" t="s">
        <v>108</v>
      </c>
    </row>
    <row r="353" spans="1:16" x14ac:dyDescent="0.3">
      <c r="A353" s="64" t="s">
        <v>110</v>
      </c>
      <c r="B353" s="192" t="s">
        <v>88</v>
      </c>
      <c r="C353" s="68">
        <v>0</v>
      </c>
      <c r="D353" s="68">
        <v>0</v>
      </c>
      <c r="E353" s="68">
        <v>0</v>
      </c>
      <c r="F353" s="68">
        <v>0</v>
      </c>
      <c r="G353" s="68">
        <v>0</v>
      </c>
      <c r="H353" s="68">
        <v>0</v>
      </c>
      <c r="I353" s="68">
        <v>0</v>
      </c>
      <c r="J353" s="68">
        <v>0</v>
      </c>
      <c r="K353" s="68">
        <v>0</v>
      </c>
      <c r="L353" s="68">
        <v>0</v>
      </c>
      <c r="M353" s="71">
        <v>0</v>
      </c>
      <c r="N353" s="71">
        <v>0</v>
      </c>
      <c r="O353" s="72" t="s">
        <v>8</v>
      </c>
      <c r="P353" s="18" t="s">
        <v>108</v>
      </c>
    </row>
    <row r="354" spans="1:16" x14ac:dyDescent="0.3">
      <c r="A354" s="64" t="s">
        <v>299</v>
      </c>
      <c r="B354" s="192" t="s">
        <v>88</v>
      </c>
      <c r="C354" s="68">
        <v>0</v>
      </c>
      <c r="D354" s="68">
        <v>0</v>
      </c>
      <c r="E354" s="68">
        <v>0</v>
      </c>
      <c r="F354" s="68">
        <v>0</v>
      </c>
      <c r="G354" s="68">
        <v>0</v>
      </c>
      <c r="H354" s="68">
        <v>0</v>
      </c>
      <c r="I354" s="68">
        <v>0</v>
      </c>
      <c r="J354" s="68">
        <v>0</v>
      </c>
      <c r="K354" s="68">
        <v>0</v>
      </c>
      <c r="L354" s="68">
        <v>0.10867488296551064</v>
      </c>
      <c r="M354" s="71">
        <v>0.11942294831374796</v>
      </c>
      <c r="N354" s="71">
        <v>0.11942294831374796</v>
      </c>
      <c r="O354" s="72"/>
      <c r="P354" s="58"/>
    </row>
    <row r="355" spans="1:16" x14ac:dyDescent="0.3">
      <c r="A355" s="49" t="s">
        <v>394</v>
      </c>
      <c r="B355" s="191" t="s">
        <v>88</v>
      </c>
      <c r="C355" s="71">
        <v>3.5459398992646722</v>
      </c>
      <c r="D355" s="71">
        <v>4.6634482311541445</v>
      </c>
      <c r="E355" s="71">
        <v>5.6520132939794481</v>
      </c>
      <c r="F355" s="71">
        <v>6.4256729083644677</v>
      </c>
      <c r="G355" s="71">
        <v>4.9428253141265133</v>
      </c>
      <c r="H355" s="71">
        <v>4.2766184239616365</v>
      </c>
      <c r="I355" s="71">
        <v>5.4800889352272213</v>
      </c>
      <c r="J355" s="71">
        <v>4.2981089688056642</v>
      </c>
      <c r="K355" s="71">
        <v>4.9226671830628153</v>
      </c>
      <c r="L355" s="71">
        <v>5.1641779260200051</v>
      </c>
      <c r="M355" s="71">
        <v>2.698958631890704</v>
      </c>
      <c r="N355" s="71">
        <v>3.8454189357026842</v>
      </c>
      <c r="O355" s="72" t="s">
        <v>8</v>
      </c>
      <c r="P355" s="18" t="s">
        <v>108</v>
      </c>
    </row>
    <row r="356" spans="1:16" x14ac:dyDescent="0.3">
      <c r="A356" s="64" t="s">
        <v>301</v>
      </c>
      <c r="B356" s="192" t="s">
        <v>88</v>
      </c>
      <c r="C356" s="68">
        <v>3.5459398992646722</v>
      </c>
      <c r="D356" s="68">
        <v>4.6634482311541445</v>
      </c>
      <c r="E356" s="68">
        <v>5.6520132939794481</v>
      </c>
      <c r="F356" s="68">
        <v>6.4256729083644677</v>
      </c>
      <c r="G356" s="68">
        <v>4.9428253141265133</v>
      </c>
      <c r="H356" s="68">
        <v>4.2766184239616365</v>
      </c>
      <c r="I356" s="68">
        <v>5.4800889352272213</v>
      </c>
      <c r="J356" s="68">
        <v>4.2981089688056642</v>
      </c>
      <c r="K356" s="68">
        <v>4.9226671830628153</v>
      </c>
      <c r="L356" s="68">
        <v>5.1641779260200051</v>
      </c>
      <c r="M356" s="71">
        <v>2.698958631890704</v>
      </c>
      <c r="N356" s="71">
        <v>3.8454189357026842</v>
      </c>
      <c r="O356" s="72" t="s">
        <v>8</v>
      </c>
      <c r="P356" s="18" t="s">
        <v>108</v>
      </c>
    </row>
    <row r="357" spans="1:16" x14ac:dyDescent="0.3">
      <c r="A357" s="64" t="s">
        <v>302</v>
      </c>
      <c r="B357" s="192" t="s">
        <v>88</v>
      </c>
      <c r="C357" s="68">
        <v>0</v>
      </c>
      <c r="D357" s="68">
        <v>0</v>
      </c>
      <c r="E357" s="68">
        <v>0</v>
      </c>
      <c r="F357" s="68">
        <v>0</v>
      </c>
      <c r="G357" s="68">
        <v>0</v>
      </c>
      <c r="H357" s="68">
        <v>0</v>
      </c>
      <c r="I357" s="68">
        <v>0</v>
      </c>
      <c r="J357" s="68">
        <v>0</v>
      </c>
      <c r="K357" s="68">
        <v>0</v>
      </c>
      <c r="L357" s="68">
        <v>0</v>
      </c>
      <c r="M357" s="71">
        <v>0</v>
      </c>
      <c r="N357" s="71">
        <v>0</v>
      </c>
      <c r="O357" s="72"/>
      <c r="P357" s="58"/>
    </row>
    <row r="358" spans="1:16" x14ac:dyDescent="0.3">
      <c r="A358" s="49" t="s">
        <v>395</v>
      </c>
      <c r="B358" s="191" t="s">
        <v>88</v>
      </c>
      <c r="C358" s="71">
        <v>0</v>
      </c>
      <c r="D358" s="71">
        <v>0</v>
      </c>
      <c r="E358" s="71">
        <v>0</v>
      </c>
      <c r="F358" s="71">
        <v>0</v>
      </c>
      <c r="G358" s="71">
        <v>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2" t="s">
        <v>8</v>
      </c>
      <c r="P358" s="18" t="s">
        <v>108</v>
      </c>
    </row>
    <row r="359" spans="1:16" x14ac:dyDescent="0.3">
      <c r="A359" s="64" t="s">
        <v>114</v>
      </c>
      <c r="B359" s="192" t="s">
        <v>88</v>
      </c>
      <c r="C359" s="68">
        <v>0</v>
      </c>
      <c r="D359" s="68">
        <v>0</v>
      </c>
      <c r="E359" s="68">
        <v>0</v>
      </c>
      <c r="F359" s="68">
        <v>0</v>
      </c>
      <c r="G359" s="68">
        <v>0</v>
      </c>
      <c r="H359" s="68">
        <v>0</v>
      </c>
      <c r="I359" s="68">
        <v>0</v>
      </c>
      <c r="J359" s="68">
        <v>0</v>
      </c>
      <c r="K359" s="68">
        <v>0</v>
      </c>
      <c r="L359" s="68">
        <v>0</v>
      </c>
      <c r="M359" s="71">
        <v>0</v>
      </c>
      <c r="N359" s="71">
        <v>0</v>
      </c>
      <c r="O359" s="72" t="s">
        <v>8</v>
      </c>
      <c r="P359" s="18" t="s">
        <v>108</v>
      </c>
    </row>
    <row r="360" spans="1:16" x14ac:dyDescent="0.3">
      <c r="A360" s="64" t="s">
        <v>313</v>
      </c>
      <c r="B360" s="192" t="s">
        <v>88</v>
      </c>
      <c r="C360" s="68">
        <v>0</v>
      </c>
      <c r="D360" s="68">
        <v>0</v>
      </c>
      <c r="E360" s="68">
        <v>0</v>
      </c>
      <c r="F360" s="68">
        <v>0</v>
      </c>
      <c r="G360" s="68">
        <v>0</v>
      </c>
      <c r="H360" s="68">
        <v>0</v>
      </c>
      <c r="I360" s="68">
        <v>0</v>
      </c>
      <c r="J360" s="68">
        <v>0</v>
      </c>
      <c r="K360" s="68">
        <v>0</v>
      </c>
      <c r="L360" s="68">
        <v>0</v>
      </c>
      <c r="M360" s="71">
        <v>0</v>
      </c>
      <c r="N360" s="71">
        <v>0</v>
      </c>
      <c r="O360" s="72" t="s">
        <v>8</v>
      </c>
      <c r="P360" s="18" t="s">
        <v>108</v>
      </c>
    </row>
    <row r="361" spans="1:16" x14ac:dyDescent="0.3">
      <c r="A361" s="64" t="s">
        <v>116</v>
      </c>
      <c r="B361" s="192" t="s">
        <v>88</v>
      </c>
      <c r="C361" s="68">
        <v>0</v>
      </c>
      <c r="D361" s="68">
        <v>0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8">
        <v>0</v>
      </c>
      <c r="L361" s="68">
        <v>0</v>
      </c>
      <c r="M361" s="71">
        <v>0</v>
      </c>
      <c r="N361" s="71">
        <v>0</v>
      </c>
      <c r="O361" s="72" t="s">
        <v>8</v>
      </c>
      <c r="P361" s="18" t="s">
        <v>108</v>
      </c>
    </row>
    <row r="362" spans="1:16" x14ac:dyDescent="0.3">
      <c r="A362" s="64" t="s">
        <v>117</v>
      </c>
      <c r="B362" s="192" t="s">
        <v>88</v>
      </c>
      <c r="C362" s="68">
        <v>0</v>
      </c>
      <c r="D362" s="68">
        <v>0</v>
      </c>
      <c r="E362" s="68">
        <v>0</v>
      </c>
      <c r="F362" s="68">
        <v>0</v>
      </c>
      <c r="G362" s="68">
        <v>0</v>
      </c>
      <c r="H362" s="68">
        <v>0</v>
      </c>
      <c r="I362" s="68">
        <v>0</v>
      </c>
      <c r="J362" s="68">
        <v>0</v>
      </c>
      <c r="K362" s="68">
        <v>0</v>
      </c>
      <c r="L362" s="68">
        <v>0</v>
      </c>
      <c r="M362" s="71">
        <v>0</v>
      </c>
      <c r="N362" s="71">
        <v>0</v>
      </c>
      <c r="O362" s="72" t="s">
        <v>8</v>
      </c>
      <c r="P362" s="18" t="s">
        <v>108</v>
      </c>
    </row>
    <row r="363" spans="1:16" x14ac:dyDescent="0.3">
      <c r="A363" s="49" t="s">
        <v>396</v>
      </c>
      <c r="B363" s="191" t="s">
        <v>88</v>
      </c>
      <c r="C363" s="71">
        <v>0.11942294831374796</v>
      </c>
      <c r="D363" s="71">
        <v>7.1653768988248781E-2</v>
      </c>
      <c r="E363" s="71">
        <v>7.1653768988248781E-2</v>
      </c>
      <c r="F363" s="71">
        <v>7.1653768988248781E-2</v>
      </c>
      <c r="G363" s="71">
        <v>4.7769179325499185E-2</v>
      </c>
      <c r="H363" s="71">
        <v>4.7769179325499185E-2</v>
      </c>
      <c r="I363" s="71">
        <v>7.1653768988248781E-2</v>
      </c>
      <c r="J363" s="71">
        <v>7.1653768988248781E-2</v>
      </c>
      <c r="K363" s="71">
        <v>7.1653768988248781E-2</v>
      </c>
      <c r="L363" s="71">
        <v>9.553835865099837E-2</v>
      </c>
      <c r="M363" s="71">
        <v>0</v>
      </c>
      <c r="N363" s="71">
        <v>0</v>
      </c>
      <c r="O363" s="72" t="s">
        <v>8</v>
      </c>
      <c r="P363" s="18" t="s">
        <v>108</v>
      </c>
    </row>
    <row r="364" spans="1:16" x14ac:dyDescent="0.3">
      <c r="A364" s="49" t="s">
        <v>397</v>
      </c>
      <c r="B364" s="191" t="s">
        <v>88</v>
      </c>
      <c r="C364" s="71">
        <v>1.2897678417884779</v>
      </c>
      <c r="D364" s="71">
        <v>1.3757523645743766</v>
      </c>
      <c r="E364" s="71">
        <v>1.6337059329320722</v>
      </c>
      <c r="F364" s="71">
        <v>1.6337059329320722</v>
      </c>
      <c r="G364" s="71">
        <v>1.5477214101461736</v>
      </c>
      <c r="H364" s="71">
        <v>1.5477214101461736</v>
      </c>
      <c r="I364" s="71">
        <v>1.5477214101461736</v>
      </c>
      <c r="J364" s="71">
        <v>0.85984522785898532</v>
      </c>
      <c r="K364" s="71">
        <v>1.7196904557179706</v>
      </c>
      <c r="L364" s="71">
        <v>1.5305245055889938</v>
      </c>
      <c r="M364" s="71">
        <v>1.4330753797649756</v>
      </c>
      <c r="N364" s="71">
        <v>1.3614216107767267</v>
      </c>
      <c r="O364" s="72" t="s">
        <v>8</v>
      </c>
      <c r="P364" s="18" t="s">
        <v>108</v>
      </c>
    </row>
    <row r="365" spans="1:16" x14ac:dyDescent="0.3">
      <c r="A365" s="49" t="s">
        <v>398</v>
      </c>
      <c r="B365" s="191" t="s">
        <v>88</v>
      </c>
      <c r="C365" s="71">
        <v>2.3884589662749593E-2</v>
      </c>
      <c r="D365" s="71">
        <v>0</v>
      </c>
      <c r="E365" s="71">
        <v>2.3884589662749593E-2</v>
      </c>
      <c r="F365" s="71">
        <v>2.3884589662749593E-2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2" t="s">
        <v>8</v>
      </c>
      <c r="P365" s="18" t="s">
        <v>108</v>
      </c>
    </row>
    <row r="366" spans="1:16" x14ac:dyDescent="0.3">
      <c r="A366" s="50" t="s">
        <v>399</v>
      </c>
      <c r="B366" s="193" t="s">
        <v>88</v>
      </c>
      <c r="C366" s="211">
        <v>9.0202878499668788</v>
      </c>
      <c r="D366" s="211">
        <v>10.152126935654</v>
      </c>
      <c r="E366" s="211">
        <v>13.443166441968366</v>
      </c>
      <c r="F366" s="211">
        <v>14.216826056353385</v>
      </c>
      <c r="G366" s="211">
        <v>11.589906617269724</v>
      </c>
      <c r="H366" s="211">
        <v>10.923699727104848</v>
      </c>
      <c r="I366" s="211">
        <v>12.151054828033182</v>
      </c>
      <c r="J366" s="211">
        <v>9.2470914852860311</v>
      </c>
      <c r="K366" s="211">
        <v>9.7928066690664455</v>
      </c>
      <c r="L366" s="211">
        <v>7.8105904606526586</v>
      </c>
      <c r="M366" s="94">
        <v>4.6097258049106715</v>
      </c>
      <c r="N366" s="94">
        <v>5.7323015190599023</v>
      </c>
      <c r="O366" s="72"/>
      <c r="P366" s="49"/>
    </row>
    <row r="367" spans="1:16" x14ac:dyDescent="0.3">
      <c r="A367" s="24" t="s">
        <v>102</v>
      </c>
      <c r="B367" s="25" t="s">
        <v>103</v>
      </c>
      <c r="C367" s="87">
        <f t="shared" ref="C367:N367" si="27">IFERROR((C352+C353+C354+C356+C357+C359+C360+C361+C362+C363+C364+C365)/C366,"")</f>
        <v>1</v>
      </c>
      <c r="D367" s="87">
        <f t="shared" si="27"/>
        <v>1.0000000000000002</v>
      </c>
      <c r="E367" s="87">
        <f t="shared" si="27"/>
        <v>0.99999999999999989</v>
      </c>
      <c r="F367" s="87">
        <f t="shared" si="27"/>
        <v>1</v>
      </c>
      <c r="G367" s="87">
        <f t="shared" si="27"/>
        <v>1.0000000000000002</v>
      </c>
      <c r="H367" s="87">
        <f t="shared" si="27"/>
        <v>1.0000109324634783</v>
      </c>
      <c r="I367" s="87">
        <f t="shared" si="27"/>
        <v>1</v>
      </c>
      <c r="J367" s="87">
        <f t="shared" si="27"/>
        <v>1.0025829299624376</v>
      </c>
      <c r="K367" s="87">
        <f t="shared" si="27"/>
        <v>0.99512201343906925</v>
      </c>
      <c r="L367" s="87">
        <f t="shared" si="27"/>
        <v>0.99969420250897723</v>
      </c>
      <c r="M367" s="87">
        <f t="shared" si="27"/>
        <v>1</v>
      </c>
      <c r="N367" s="87">
        <f t="shared" si="27"/>
        <v>1</v>
      </c>
      <c r="O367" s="72"/>
      <c r="P367" s="49"/>
    </row>
    <row r="368" spans="1:16" x14ac:dyDescent="0.3">
      <c r="A368" s="49"/>
      <c r="B368" s="49"/>
      <c r="C368" s="87">
        <f t="shared" ref="C368:N368" si="28">IFERROR((C351+C355+C358+C363+C364+C365)/C366,"")</f>
        <v>1</v>
      </c>
      <c r="D368" s="87">
        <f t="shared" si="28"/>
        <v>1.0000000000000002</v>
      </c>
      <c r="E368" s="87">
        <f t="shared" si="28"/>
        <v>0.99999999999999989</v>
      </c>
      <c r="F368" s="87">
        <f t="shared" si="28"/>
        <v>1</v>
      </c>
      <c r="G368" s="87">
        <f t="shared" si="28"/>
        <v>1.0000000000000002</v>
      </c>
      <c r="H368" s="87">
        <f t="shared" si="28"/>
        <v>1.0000109324634783</v>
      </c>
      <c r="I368" s="87">
        <f t="shared" si="28"/>
        <v>1</v>
      </c>
      <c r="J368" s="87">
        <f t="shared" si="28"/>
        <v>1.0025829299624376</v>
      </c>
      <c r="K368" s="87">
        <f t="shared" si="28"/>
        <v>0.99512201343906925</v>
      </c>
      <c r="L368" s="87">
        <f t="shared" si="28"/>
        <v>0.99969420250897723</v>
      </c>
      <c r="M368" s="87">
        <f t="shared" si="28"/>
        <v>1</v>
      </c>
      <c r="N368" s="87">
        <f t="shared" si="28"/>
        <v>1</v>
      </c>
      <c r="O368" s="49"/>
      <c r="P368" s="49"/>
    </row>
    <row r="369" spans="1:16" x14ac:dyDescent="0.3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spans="1:16" ht="15.6" x14ac:dyDescent="0.3">
      <c r="A370" s="8" t="s">
        <v>400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spans="1:16" x14ac:dyDescent="0.3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spans="1:16" x14ac:dyDescent="0.3">
      <c r="A372" s="49" t="s">
        <v>401</v>
      </c>
      <c r="B372" s="192" t="s">
        <v>88</v>
      </c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49"/>
      <c r="P372" s="49"/>
    </row>
    <row r="373" spans="1:16" x14ac:dyDescent="0.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1:16" ht="15.6" x14ac:dyDescent="0.3">
      <c r="A374" s="8" t="s">
        <v>402</v>
      </c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spans="1:16" x14ac:dyDescent="0.3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1:16" x14ac:dyDescent="0.3">
      <c r="A376" s="49" t="s">
        <v>403</v>
      </c>
      <c r="B376" s="191" t="s">
        <v>88</v>
      </c>
      <c r="C376" s="71">
        <v>25.009553835865098</v>
      </c>
      <c r="D376" s="71">
        <v>35.205885162892905</v>
      </c>
      <c r="E376" s="71">
        <v>36.341358555460012</v>
      </c>
      <c r="F376" s="71">
        <v>33.310404127257094</v>
      </c>
      <c r="G376" s="71">
        <v>34.170727046909327</v>
      </c>
      <c r="H376" s="71">
        <v>32.22652144836151</v>
      </c>
      <c r="I376" s="71">
        <v>42.451514282984618</v>
      </c>
      <c r="J376" s="71">
        <v>33.318190503487145</v>
      </c>
      <c r="K376" s="71">
        <v>37.456195423712622</v>
      </c>
      <c r="L376" s="71">
        <v>36.292419031241039</v>
      </c>
      <c r="M376" s="71">
        <v>40.460494888697809</v>
      </c>
      <c r="N376" s="71">
        <v>18.916595012897677</v>
      </c>
      <c r="O376" s="72" t="s">
        <v>8</v>
      </c>
      <c r="P376" s="18" t="s">
        <v>108</v>
      </c>
    </row>
    <row r="377" spans="1:16" x14ac:dyDescent="0.3">
      <c r="A377" s="64" t="s">
        <v>298</v>
      </c>
      <c r="B377" s="192" t="s">
        <v>88</v>
      </c>
      <c r="C377" s="71">
        <v>21.216680997420461</v>
      </c>
      <c r="D377" s="71">
        <v>33.342887169198434</v>
      </c>
      <c r="E377" s="71">
        <v>32.330180567497848</v>
      </c>
      <c r="F377" s="71">
        <v>29.299226139294927</v>
      </c>
      <c r="G377" s="71">
        <v>30.309544282029233</v>
      </c>
      <c r="H377" s="71">
        <v>27.278589853826308</v>
      </c>
      <c r="I377" s="71">
        <v>34.350816852966467</v>
      </c>
      <c r="J377" s="71">
        <v>26.268271711092002</v>
      </c>
      <c r="K377" s="71">
        <v>32.330180567497848</v>
      </c>
      <c r="L377" s="71">
        <v>28.490971625107477</v>
      </c>
      <c r="M377" s="71">
        <v>31.312697047864717</v>
      </c>
      <c r="N377" s="71">
        <v>11.106334193178562</v>
      </c>
      <c r="O377" s="72" t="s">
        <v>8</v>
      </c>
      <c r="P377" s="18" t="s">
        <v>108</v>
      </c>
    </row>
    <row r="378" spans="1:16" x14ac:dyDescent="0.3">
      <c r="A378" s="64" t="s">
        <v>110</v>
      </c>
      <c r="B378" s="192" t="s">
        <v>88</v>
      </c>
      <c r="C378" s="71">
        <v>3.7928728384446355</v>
      </c>
      <c r="D378" s="71">
        <v>1.8629979936944683</v>
      </c>
      <c r="E378" s="71">
        <v>1.8735072131460779</v>
      </c>
      <c r="F378" s="71">
        <v>1.8735072131460779</v>
      </c>
      <c r="G378" s="71">
        <v>2.810260819719117</v>
      </c>
      <c r="H378" s="71">
        <v>2.810260819719117</v>
      </c>
      <c r="I378" s="71">
        <v>2.810260819719117</v>
      </c>
      <c r="J378" s="71">
        <v>2.8103324734881054</v>
      </c>
      <c r="K378" s="71">
        <v>2.9883201968090183</v>
      </c>
      <c r="L378" s="71">
        <v>5.1203783319002572</v>
      </c>
      <c r="M378" s="71">
        <v>6.8309926435463835</v>
      </c>
      <c r="N378" s="71">
        <v>6.0905703640011462</v>
      </c>
      <c r="O378" s="72" t="s">
        <v>8</v>
      </c>
      <c r="P378" s="18" t="s">
        <v>108</v>
      </c>
    </row>
    <row r="379" spans="1:16" x14ac:dyDescent="0.3">
      <c r="A379" s="64" t="s">
        <v>299</v>
      </c>
      <c r="B379" s="192" t="s">
        <v>88</v>
      </c>
      <c r="C379" s="71">
        <v>0</v>
      </c>
      <c r="D379" s="71">
        <v>0</v>
      </c>
      <c r="E379" s="71">
        <v>2.1376707748160886</v>
      </c>
      <c r="F379" s="71">
        <v>2.1376707748160886</v>
      </c>
      <c r="G379" s="71">
        <v>1.0509219451609821</v>
      </c>
      <c r="H379" s="71">
        <v>2.1376707748160886</v>
      </c>
      <c r="I379" s="71">
        <v>5.290436610299035</v>
      </c>
      <c r="J379" s="71">
        <v>4.2395863189070404</v>
      </c>
      <c r="K379" s="71">
        <v>2.1376946594057511</v>
      </c>
      <c r="L379" s="71">
        <v>2.6810690742333048</v>
      </c>
      <c r="M379" s="71">
        <v>2.3168051972867105</v>
      </c>
      <c r="N379" s="71">
        <v>1.7196904557179706</v>
      </c>
      <c r="O379" s="72"/>
      <c r="P379" s="18" t="s">
        <v>108</v>
      </c>
    </row>
    <row r="380" spans="1:16" x14ac:dyDescent="0.3">
      <c r="A380" s="49" t="s">
        <v>404</v>
      </c>
      <c r="B380" s="191" t="s">
        <v>88</v>
      </c>
      <c r="C380" s="71">
        <v>3.5674304441087008</v>
      </c>
      <c r="D380" s="71">
        <v>3.9170727046909333</v>
      </c>
      <c r="E380" s="71">
        <v>4.7709009553742865</v>
      </c>
      <c r="F380" s="71">
        <v>4.6857567376983296</v>
      </c>
      <c r="G380" s="71">
        <v>5.3296551213190231</v>
      </c>
      <c r="H380" s="71">
        <v>6.2752390944562704</v>
      </c>
      <c r="I380" s="71">
        <v>7.2852947021256007</v>
      </c>
      <c r="J380" s="71">
        <v>7.1152320583834854</v>
      </c>
      <c r="K380" s="71">
        <v>6.2512771369551769</v>
      </c>
      <c r="L380" s="71">
        <v>4.4292012923542368</v>
      </c>
      <c r="M380" s="71">
        <v>3.6782268080634375</v>
      </c>
      <c r="N380" s="71">
        <v>5.1590713671539117</v>
      </c>
      <c r="O380" s="72" t="s">
        <v>8</v>
      </c>
      <c r="P380" s="18" t="s">
        <v>108</v>
      </c>
    </row>
    <row r="381" spans="1:16" x14ac:dyDescent="0.3">
      <c r="A381" s="64" t="s">
        <v>301</v>
      </c>
      <c r="B381" s="192" t="s">
        <v>88</v>
      </c>
      <c r="C381" s="71">
        <v>3.5674304441087008</v>
      </c>
      <c r="D381" s="71">
        <v>3.9170727046909333</v>
      </c>
      <c r="E381" s="71">
        <v>4.7709009553742865</v>
      </c>
      <c r="F381" s="71">
        <v>4.6857567376983296</v>
      </c>
      <c r="G381" s="71">
        <v>5.3296551213190231</v>
      </c>
      <c r="H381" s="71">
        <v>6.2752390944562704</v>
      </c>
      <c r="I381" s="71">
        <v>7.2852947021256007</v>
      </c>
      <c r="J381" s="71">
        <v>7.1152320583834854</v>
      </c>
      <c r="K381" s="71">
        <v>6.2512771369551769</v>
      </c>
      <c r="L381" s="71">
        <v>4.4292012923542368</v>
      </c>
      <c r="M381" s="71">
        <v>3.6782268080634375</v>
      </c>
      <c r="N381" s="71">
        <v>5.1590713671539117</v>
      </c>
      <c r="O381" s="72" t="s">
        <v>8</v>
      </c>
      <c r="P381" s="18" t="s">
        <v>108</v>
      </c>
    </row>
    <row r="382" spans="1:16" x14ac:dyDescent="0.3">
      <c r="A382" s="64" t="s">
        <v>302</v>
      </c>
      <c r="B382" s="192" t="s">
        <v>88</v>
      </c>
      <c r="C382" s="71">
        <v>0</v>
      </c>
      <c r="D382" s="71">
        <v>0</v>
      </c>
      <c r="E382" s="71">
        <v>0</v>
      </c>
      <c r="F382" s="71">
        <v>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2"/>
      <c r="P382" s="58"/>
    </row>
    <row r="383" spans="1:16" x14ac:dyDescent="0.3">
      <c r="A383" s="49" t="s">
        <v>405</v>
      </c>
      <c r="B383" s="191" t="s">
        <v>88</v>
      </c>
      <c r="C383" s="71">
        <v>0</v>
      </c>
      <c r="D383" s="71">
        <v>0.38215343460399348</v>
      </c>
      <c r="E383" s="71">
        <v>0</v>
      </c>
      <c r="F383" s="71">
        <v>0</v>
      </c>
      <c r="G383" s="71">
        <v>0</v>
      </c>
      <c r="H383" s="71">
        <v>0</v>
      </c>
      <c r="I383" s="71">
        <v>0</v>
      </c>
      <c r="J383" s="71">
        <v>0</v>
      </c>
      <c r="K383" s="71">
        <v>0.52546097258049107</v>
      </c>
      <c r="L383" s="71">
        <v>0.26273048629024554</v>
      </c>
      <c r="M383" s="71">
        <v>4.7769179325499185E-2</v>
      </c>
      <c r="N383" s="71">
        <v>0.16719212763924715</v>
      </c>
      <c r="O383" s="72" t="s">
        <v>8</v>
      </c>
      <c r="P383" s="18" t="s">
        <v>108</v>
      </c>
    </row>
    <row r="384" spans="1:16" x14ac:dyDescent="0.3">
      <c r="A384" s="64" t="s">
        <v>114</v>
      </c>
      <c r="B384" s="192" t="s">
        <v>88</v>
      </c>
      <c r="C384" s="71">
        <v>0</v>
      </c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0</v>
      </c>
      <c r="K384" s="71">
        <v>0.52546097258049107</v>
      </c>
      <c r="L384" s="71">
        <v>0.26273048629024554</v>
      </c>
      <c r="M384" s="71">
        <v>4.7769179325499185E-2</v>
      </c>
      <c r="N384" s="71">
        <v>0.16719212763924715</v>
      </c>
      <c r="O384" s="72" t="s">
        <v>8</v>
      </c>
      <c r="P384" s="18" t="s">
        <v>108</v>
      </c>
    </row>
    <row r="385" spans="1:16" x14ac:dyDescent="0.3">
      <c r="A385" s="64" t="s">
        <v>313</v>
      </c>
      <c r="B385" s="192" t="s">
        <v>88</v>
      </c>
      <c r="C385" s="71">
        <v>0</v>
      </c>
      <c r="D385" s="71">
        <v>0</v>
      </c>
      <c r="E385" s="71">
        <v>0</v>
      </c>
      <c r="F385" s="71">
        <v>0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0</v>
      </c>
      <c r="M385" s="71">
        <v>0</v>
      </c>
      <c r="N385" s="71">
        <v>0</v>
      </c>
      <c r="O385" s="72" t="s">
        <v>8</v>
      </c>
      <c r="P385" s="18" t="s">
        <v>108</v>
      </c>
    </row>
    <row r="386" spans="1:16" x14ac:dyDescent="0.3">
      <c r="A386" s="64" t="s">
        <v>116</v>
      </c>
      <c r="B386" s="192" t="s">
        <v>88</v>
      </c>
      <c r="C386" s="71">
        <v>0</v>
      </c>
      <c r="D386" s="71">
        <v>0</v>
      </c>
      <c r="E386" s="71">
        <v>0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2" t="s">
        <v>8</v>
      </c>
      <c r="P386" s="18" t="s">
        <v>108</v>
      </c>
    </row>
    <row r="387" spans="1:16" x14ac:dyDescent="0.3">
      <c r="A387" s="64" t="s">
        <v>117</v>
      </c>
      <c r="B387" s="192" t="s">
        <v>88</v>
      </c>
      <c r="C387" s="71">
        <v>0</v>
      </c>
      <c r="D387" s="71">
        <v>0.38215343460399348</v>
      </c>
      <c r="E387" s="71">
        <v>0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71">
        <v>0</v>
      </c>
      <c r="M387" s="71">
        <v>0</v>
      </c>
      <c r="N387" s="71">
        <v>0</v>
      </c>
      <c r="O387" s="72" t="s">
        <v>8</v>
      </c>
      <c r="P387" s="18" t="s">
        <v>108</v>
      </c>
    </row>
    <row r="388" spans="1:16" x14ac:dyDescent="0.3">
      <c r="A388" s="49" t="s">
        <v>406</v>
      </c>
      <c r="B388" s="191" t="s">
        <v>88</v>
      </c>
      <c r="C388" s="71">
        <v>2.1496130696474633</v>
      </c>
      <c r="D388" s="71">
        <v>0.97926817617273332</v>
      </c>
      <c r="E388" s="71">
        <v>1.6958058660552211</v>
      </c>
      <c r="F388" s="71">
        <v>1.4569599694277251</v>
      </c>
      <c r="G388" s="71">
        <v>1.9585363523454666</v>
      </c>
      <c r="H388" s="71">
        <v>1.8391134040317187</v>
      </c>
      <c r="I388" s="71">
        <v>2.1734976593102129</v>
      </c>
      <c r="J388" s="71">
        <v>1.9824209420082162</v>
      </c>
      <c r="K388" s="71">
        <v>1.8391134040317187</v>
      </c>
      <c r="L388" s="71">
        <v>1.9107671730199673</v>
      </c>
      <c r="M388" s="71">
        <v>2.0301901213337152</v>
      </c>
      <c r="N388" s="71">
        <v>1.8629979936944683</v>
      </c>
      <c r="O388" s="72" t="s">
        <v>8</v>
      </c>
      <c r="P388" s="18" t="s">
        <v>108</v>
      </c>
    </row>
    <row r="389" spans="1:16" x14ac:dyDescent="0.3">
      <c r="A389" s="49" t="s">
        <v>407</v>
      </c>
      <c r="B389" s="191" t="s">
        <v>88</v>
      </c>
      <c r="C389" s="71">
        <v>5.3310404127257094</v>
      </c>
      <c r="D389" s="71">
        <v>6.1144549536638957</v>
      </c>
      <c r="E389" s="71">
        <v>7.0507308684436794</v>
      </c>
      <c r="F389" s="71">
        <v>7.222699914015478</v>
      </c>
      <c r="G389" s="71">
        <v>6.7067927773000857</v>
      </c>
      <c r="H389" s="71">
        <v>6.9647463456577814</v>
      </c>
      <c r="I389" s="71">
        <v>7.1367153912295782</v>
      </c>
      <c r="J389" s="71">
        <v>7.0507308684436794</v>
      </c>
      <c r="K389" s="71">
        <v>6.1049011177987955</v>
      </c>
      <c r="L389" s="71">
        <v>5.7093723129836631</v>
      </c>
      <c r="M389" s="71">
        <v>7.260915257475876</v>
      </c>
      <c r="N389" s="71">
        <v>4.6574949842361706</v>
      </c>
      <c r="O389" s="72" t="s">
        <v>8</v>
      </c>
      <c r="P389" s="18" t="s">
        <v>108</v>
      </c>
    </row>
    <row r="390" spans="1:16" x14ac:dyDescent="0.3">
      <c r="A390" s="49" t="s">
        <v>408</v>
      </c>
      <c r="B390" s="191" t="s">
        <v>88</v>
      </c>
      <c r="C390" s="71">
        <v>0.19107671730199674</v>
      </c>
      <c r="D390" s="71">
        <v>0.21496130696474633</v>
      </c>
      <c r="E390" s="71">
        <v>0.16719212763924715</v>
      </c>
      <c r="F390" s="71">
        <v>1.8391134040317187</v>
      </c>
      <c r="G390" s="71">
        <v>0.14330753797649756</v>
      </c>
      <c r="H390" s="71">
        <v>0.23884589662749592</v>
      </c>
      <c r="I390" s="71">
        <v>0.95538358650998367</v>
      </c>
      <c r="J390" s="71">
        <v>0.71653768988248778</v>
      </c>
      <c r="K390" s="71">
        <v>0.48</v>
      </c>
      <c r="L390" s="71">
        <v>0.71653768988248778</v>
      </c>
      <c r="M390" s="71">
        <v>0.42992261392949266</v>
      </c>
      <c r="N390" s="71">
        <v>0.52546097258049107</v>
      </c>
      <c r="O390" s="72" t="s">
        <v>8</v>
      </c>
      <c r="P390" s="18" t="s">
        <v>108</v>
      </c>
    </row>
    <row r="391" spans="1:16" x14ac:dyDescent="0.3">
      <c r="A391" s="50" t="s">
        <v>409</v>
      </c>
      <c r="B391" s="193" t="s">
        <v>88</v>
      </c>
      <c r="C391" s="211">
        <v>36.248714479648967</v>
      </c>
      <c r="D391" s="211">
        <v>46.813795738989199</v>
      </c>
      <c r="E391" s="211">
        <v>50.025988372972449</v>
      </c>
      <c r="F391" s="211">
        <v>48.514934152430342</v>
      </c>
      <c r="G391" s="211">
        <v>48.309018835850402</v>
      </c>
      <c r="H391" s="211">
        <v>47.544466189134781</v>
      </c>
      <c r="I391" s="211">
        <v>60.002405622159991</v>
      </c>
      <c r="J391" s="211">
        <v>50.183112062205012</v>
      </c>
      <c r="K391" s="211">
        <v>52.654639848333801</v>
      </c>
      <c r="L391" s="211">
        <v>49.321027985771636</v>
      </c>
      <c r="M391" s="211">
        <v>53.907518868825832</v>
      </c>
      <c r="N391" s="211">
        <v>31.312697047864717</v>
      </c>
      <c r="O391" s="72"/>
      <c r="P391" s="49"/>
    </row>
    <row r="392" spans="1:16" x14ac:dyDescent="0.3">
      <c r="A392" s="24" t="s">
        <v>102</v>
      </c>
      <c r="B392" s="25" t="s">
        <v>103</v>
      </c>
      <c r="C392" s="87">
        <f t="shared" ref="C392:N392" si="29">IFERROR((C377+C378+C379+C381+C382+C384+C385+C386+C387+C388+C389+C390)/C391,"")</f>
        <v>1</v>
      </c>
      <c r="D392" s="87">
        <f t="shared" si="29"/>
        <v>1</v>
      </c>
      <c r="E392" s="87">
        <f t="shared" si="29"/>
        <v>1</v>
      </c>
      <c r="F392" s="87">
        <f t="shared" si="29"/>
        <v>1</v>
      </c>
      <c r="G392" s="87">
        <f t="shared" si="29"/>
        <v>1</v>
      </c>
      <c r="H392" s="87">
        <f t="shared" si="29"/>
        <v>0.99999999999999989</v>
      </c>
      <c r="I392" s="87">
        <f t="shared" si="29"/>
        <v>1</v>
      </c>
      <c r="J392" s="87">
        <f t="shared" si="29"/>
        <v>1</v>
      </c>
      <c r="K392" s="87">
        <f t="shared" si="29"/>
        <v>1.0000438367207838</v>
      </c>
      <c r="L392" s="87">
        <f t="shared" si="29"/>
        <v>1</v>
      </c>
      <c r="M392" s="87">
        <f t="shared" si="29"/>
        <v>1</v>
      </c>
      <c r="N392" s="87">
        <f t="shared" si="29"/>
        <v>0.99923722349351618</v>
      </c>
      <c r="O392" s="72"/>
      <c r="P392" s="49"/>
    </row>
    <row r="393" spans="1:16" x14ac:dyDescent="0.3">
      <c r="A393" s="49"/>
      <c r="B393" s="49"/>
      <c r="C393" s="87">
        <f t="shared" ref="C393:N393" si="30">IFERROR((C376+C380+C383+C388+C389+C390)/C391,"")</f>
        <v>1</v>
      </c>
      <c r="D393" s="87">
        <f t="shared" si="30"/>
        <v>1</v>
      </c>
      <c r="E393" s="87">
        <f t="shared" si="30"/>
        <v>1</v>
      </c>
      <c r="F393" s="87">
        <f t="shared" si="30"/>
        <v>1</v>
      </c>
      <c r="G393" s="87">
        <f t="shared" si="30"/>
        <v>1</v>
      </c>
      <c r="H393" s="87">
        <f t="shared" si="30"/>
        <v>0.99999999999999989</v>
      </c>
      <c r="I393" s="87">
        <f t="shared" si="30"/>
        <v>1</v>
      </c>
      <c r="J393" s="87">
        <f t="shared" si="30"/>
        <v>1</v>
      </c>
      <c r="K393" s="87">
        <f t="shared" si="30"/>
        <v>1.0000438367207838</v>
      </c>
      <c r="L393" s="87">
        <f t="shared" si="30"/>
        <v>1</v>
      </c>
      <c r="M393" s="87">
        <f t="shared" si="30"/>
        <v>1</v>
      </c>
      <c r="N393" s="87">
        <f t="shared" si="30"/>
        <v>0.99923722349351618</v>
      </c>
      <c r="O393" s="49"/>
      <c r="P393" s="49"/>
    </row>
    <row r="394" spans="1:16" x14ac:dyDescent="0.3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spans="1:16" ht="18" x14ac:dyDescent="0.35">
      <c r="A395" s="48" t="s">
        <v>410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x14ac:dyDescent="0.3">
      <c r="A396" s="49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1:16" ht="15.6" x14ac:dyDescent="0.3">
      <c r="A397" s="8" t="s">
        <v>411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1:16" x14ac:dyDescent="0.3">
      <c r="A398" s="49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1:16" x14ac:dyDescent="0.3">
      <c r="A399" s="49" t="s">
        <v>412</v>
      </c>
      <c r="B399" s="191" t="s">
        <v>88</v>
      </c>
      <c r="C399" s="71">
        <v>0</v>
      </c>
      <c r="D399" s="71">
        <v>0</v>
      </c>
      <c r="E399" s="71">
        <v>0</v>
      </c>
      <c r="F399" s="71">
        <v>0</v>
      </c>
      <c r="G399" s="71">
        <v>0</v>
      </c>
      <c r="H399" s="71">
        <v>0</v>
      </c>
      <c r="I399" s="71">
        <v>0</v>
      </c>
      <c r="J399" s="71">
        <v>3.7285666045667329</v>
      </c>
      <c r="K399" s="71">
        <v>3.7285666045667329</v>
      </c>
      <c r="L399" s="71">
        <v>0</v>
      </c>
      <c r="M399" s="71">
        <v>0.57319240470048727</v>
      </c>
      <c r="N399" s="71">
        <v>0</v>
      </c>
      <c r="O399" s="18" t="s">
        <v>39</v>
      </c>
      <c r="P399" s="18" t="s">
        <v>413</v>
      </c>
    </row>
    <row r="400" spans="1:16" x14ac:dyDescent="0.3">
      <c r="A400" s="64" t="s">
        <v>298</v>
      </c>
      <c r="B400" s="192" t="s">
        <v>88</v>
      </c>
      <c r="C400" s="71">
        <v>0</v>
      </c>
      <c r="D400" s="71">
        <v>0</v>
      </c>
      <c r="E400" s="71">
        <v>0</v>
      </c>
      <c r="F400" s="71">
        <v>0</v>
      </c>
      <c r="G400" s="71">
        <v>0</v>
      </c>
      <c r="H400" s="71">
        <v>0</v>
      </c>
      <c r="I400" s="71">
        <v>0</v>
      </c>
      <c r="J400" s="71">
        <v>0.19424757810260818</v>
      </c>
      <c r="K400" s="71">
        <v>0.19424757810260818</v>
      </c>
      <c r="L400" s="71">
        <v>0.19424757810260818</v>
      </c>
      <c r="M400" s="71">
        <v>2.5139008311837203E-2</v>
      </c>
      <c r="N400" s="71">
        <v>0</v>
      </c>
      <c r="O400" s="18" t="s">
        <v>39</v>
      </c>
      <c r="P400" s="18" t="s">
        <v>413</v>
      </c>
    </row>
    <row r="401" spans="1:16" x14ac:dyDescent="0.3">
      <c r="A401" s="64" t="s">
        <v>110</v>
      </c>
      <c r="B401" s="192" t="s">
        <v>88</v>
      </c>
      <c r="C401" s="71">
        <v>0</v>
      </c>
      <c r="D401" s="71">
        <v>0</v>
      </c>
      <c r="E401" s="71">
        <v>0</v>
      </c>
      <c r="F401" s="71">
        <v>0</v>
      </c>
      <c r="G401" s="71">
        <v>0</v>
      </c>
      <c r="H401" s="71">
        <v>0</v>
      </c>
      <c r="I401" s="71">
        <v>0</v>
      </c>
      <c r="J401" s="71">
        <v>0</v>
      </c>
      <c r="K401" s="71">
        <v>0</v>
      </c>
      <c r="L401" s="71">
        <v>0</v>
      </c>
      <c r="M401" s="71">
        <v>0</v>
      </c>
      <c r="N401" s="71">
        <v>0</v>
      </c>
      <c r="O401" s="18" t="s">
        <v>39</v>
      </c>
      <c r="P401" s="18" t="s">
        <v>413</v>
      </c>
    </row>
    <row r="402" spans="1:16" x14ac:dyDescent="0.3">
      <c r="A402" s="64" t="s">
        <v>299</v>
      </c>
      <c r="B402" s="192" t="s">
        <v>88</v>
      </c>
      <c r="C402" s="71">
        <v>0</v>
      </c>
      <c r="D402" s="71">
        <v>0</v>
      </c>
      <c r="E402" s="71">
        <v>0</v>
      </c>
      <c r="F402" s="71">
        <v>0</v>
      </c>
      <c r="G402" s="71">
        <v>0</v>
      </c>
      <c r="H402" s="71">
        <v>0</v>
      </c>
      <c r="I402" s="71">
        <v>0</v>
      </c>
      <c r="J402" s="71">
        <v>3.5343190264641247</v>
      </c>
      <c r="K402" s="71">
        <v>3.5343190264641247</v>
      </c>
      <c r="L402" s="71">
        <v>0</v>
      </c>
      <c r="M402" s="71">
        <v>0.54805339638865003</v>
      </c>
      <c r="N402" s="71">
        <v>0</v>
      </c>
      <c r="O402" s="18" t="s">
        <v>39</v>
      </c>
      <c r="P402" s="18" t="s">
        <v>413</v>
      </c>
    </row>
    <row r="403" spans="1:16" x14ac:dyDescent="0.3">
      <c r="A403" s="49" t="s">
        <v>414</v>
      </c>
      <c r="B403" s="191" t="s">
        <v>88</v>
      </c>
      <c r="C403" s="71">
        <v>0</v>
      </c>
      <c r="D403" s="71">
        <v>0</v>
      </c>
      <c r="E403" s="71">
        <v>0</v>
      </c>
      <c r="F403" s="71">
        <v>0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18" t="s">
        <v>39</v>
      </c>
      <c r="P403" s="18" t="s">
        <v>413</v>
      </c>
    </row>
    <row r="404" spans="1:16" x14ac:dyDescent="0.3">
      <c r="A404" s="64" t="s">
        <v>301</v>
      </c>
      <c r="B404" s="192" t="s">
        <v>88</v>
      </c>
      <c r="C404" s="71">
        <v>0</v>
      </c>
      <c r="D404" s="71">
        <v>0</v>
      </c>
      <c r="E404" s="71">
        <v>0</v>
      </c>
      <c r="F404" s="71">
        <v>0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18" t="s">
        <v>39</v>
      </c>
      <c r="P404" s="18" t="s">
        <v>413</v>
      </c>
    </row>
    <row r="405" spans="1:16" x14ac:dyDescent="0.3">
      <c r="A405" s="64" t="s">
        <v>302</v>
      </c>
      <c r="B405" s="192" t="s">
        <v>88</v>
      </c>
      <c r="C405" s="71">
        <v>0</v>
      </c>
      <c r="D405" s="71">
        <v>0</v>
      </c>
      <c r="E405" s="71">
        <v>0</v>
      </c>
      <c r="F405" s="71">
        <v>0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18" t="s">
        <v>39</v>
      </c>
      <c r="P405" s="18" t="s">
        <v>413</v>
      </c>
    </row>
    <row r="406" spans="1:16" x14ac:dyDescent="0.3">
      <c r="A406" s="49" t="s">
        <v>415</v>
      </c>
      <c r="B406" s="191" t="s">
        <v>88</v>
      </c>
      <c r="C406" s="71">
        <v>76.924897296264447</v>
      </c>
      <c r="D406" s="71">
        <v>95.909772379860513</v>
      </c>
      <c r="E406" s="71">
        <v>92.927614884876277</v>
      </c>
      <c r="F406" s="71">
        <v>89.055842170631507</v>
      </c>
      <c r="G406" s="71">
        <v>92.902359797458672</v>
      </c>
      <c r="H406" s="71">
        <v>44.595332951179891</v>
      </c>
      <c r="I406" s="71">
        <v>37.642739466895954</v>
      </c>
      <c r="J406" s="71">
        <v>69.155455047291497</v>
      </c>
      <c r="K406" s="71">
        <v>76.460411180854109</v>
      </c>
      <c r="L406" s="71">
        <v>75.720733278876466</v>
      </c>
      <c r="M406" s="71">
        <v>3.5645812267125248</v>
      </c>
      <c r="N406" s="71">
        <v>0</v>
      </c>
      <c r="O406" s="18" t="s">
        <v>39</v>
      </c>
      <c r="P406" s="18" t="s">
        <v>413</v>
      </c>
    </row>
    <row r="407" spans="1:16" x14ac:dyDescent="0.3">
      <c r="A407" s="64" t="s">
        <v>114</v>
      </c>
      <c r="B407" s="192" t="s">
        <v>88</v>
      </c>
      <c r="C407" s="71">
        <v>27.041726378140822</v>
      </c>
      <c r="D407" s="71">
        <v>31.122978169485052</v>
      </c>
      <c r="E407" s="71">
        <v>27.262821247730965</v>
      </c>
      <c r="F407" s="71">
        <v>30.949651284990921</v>
      </c>
      <c r="G407" s="71">
        <v>33.550683099264354</v>
      </c>
      <c r="H407" s="71">
        <v>12.039887264736791</v>
      </c>
      <c r="I407" s="71">
        <v>10.076239610203496</v>
      </c>
      <c r="J407" s="71">
        <v>17.441310332473488</v>
      </c>
      <c r="K407" s="71">
        <v>23.373891181809494</v>
      </c>
      <c r="L407" s="71">
        <v>27.104600171969043</v>
      </c>
      <c r="M407" s="71">
        <v>1.2993121238177128</v>
      </c>
      <c r="N407" s="71">
        <v>0</v>
      </c>
      <c r="O407" s="18" t="s">
        <v>39</v>
      </c>
      <c r="P407" s="18" t="s">
        <v>413</v>
      </c>
    </row>
    <row r="408" spans="1:16" x14ac:dyDescent="0.3">
      <c r="A408" s="64" t="s">
        <v>313</v>
      </c>
      <c r="B408" s="192" t="s">
        <v>88</v>
      </c>
      <c r="C408" s="71">
        <v>41.765931021305057</v>
      </c>
      <c r="D408" s="71">
        <v>49.778733161364286</v>
      </c>
      <c r="E408" s="71">
        <v>39.662403267411868</v>
      </c>
      <c r="F408" s="71">
        <v>33.480223559759239</v>
      </c>
      <c r="G408" s="71">
        <v>32.26999140154772</v>
      </c>
      <c r="H408" s="71">
        <v>15.090498710232156</v>
      </c>
      <c r="I408" s="71">
        <v>10.385425623387789</v>
      </c>
      <c r="J408" s="71">
        <v>21.631008168529664</v>
      </c>
      <c r="K408" s="71">
        <v>23.628126827171108</v>
      </c>
      <c r="L408" s="71">
        <v>18.532996560619086</v>
      </c>
      <c r="M408" s="71">
        <v>1.2671969045571796</v>
      </c>
      <c r="N408" s="71">
        <v>0</v>
      </c>
      <c r="O408" s="18" t="s">
        <v>39</v>
      </c>
      <c r="P408" s="18" t="s">
        <v>413</v>
      </c>
    </row>
    <row r="409" spans="1:16" x14ac:dyDescent="0.3">
      <c r="A409" s="64" t="s">
        <v>116</v>
      </c>
      <c r="B409" s="192" t="s">
        <v>88</v>
      </c>
      <c r="C409" s="71">
        <v>0</v>
      </c>
      <c r="D409" s="71">
        <v>0</v>
      </c>
      <c r="E409" s="71">
        <v>0</v>
      </c>
      <c r="F409" s="71">
        <v>0</v>
      </c>
      <c r="G409" s="71">
        <v>0</v>
      </c>
      <c r="H409" s="71">
        <v>0</v>
      </c>
      <c r="I409" s="71">
        <v>0</v>
      </c>
      <c r="J409" s="71">
        <v>0.4583931718735072</v>
      </c>
      <c r="K409" s="71">
        <v>0.4583931718735072</v>
      </c>
      <c r="L409" s="71">
        <v>0.4583931718735072</v>
      </c>
      <c r="M409" s="71">
        <v>0</v>
      </c>
      <c r="N409" s="71">
        <v>0</v>
      </c>
      <c r="O409" s="18" t="s">
        <v>39</v>
      </c>
      <c r="P409" s="18" t="s">
        <v>413</v>
      </c>
    </row>
    <row r="410" spans="1:16" x14ac:dyDescent="0.3">
      <c r="A410" s="64" t="s">
        <v>117</v>
      </c>
      <c r="B410" s="192" t="s">
        <v>88</v>
      </c>
      <c r="C410" s="71">
        <v>8.1172398968185728</v>
      </c>
      <c r="D410" s="71">
        <v>15.008061049011179</v>
      </c>
      <c r="E410" s="71">
        <v>26.002390369733451</v>
      </c>
      <c r="F410" s="71">
        <v>24.625967325881341</v>
      </c>
      <c r="G410" s="71">
        <v>27.081685296646601</v>
      </c>
      <c r="H410" s="71">
        <v>17.464946976210946</v>
      </c>
      <c r="I410" s="71">
        <v>17.18107423330467</v>
      </c>
      <c r="J410" s="71">
        <v>29.624743374414827</v>
      </c>
      <c r="K410" s="71">
        <v>29</v>
      </c>
      <c r="L410" s="71">
        <v>29.624743374414827</v>
      </c>
      <c r="M410" s="71">
        <v>0.99807219833763239</v>
      </c>
      <c r="N410" s="71">
        <v>0</v>
      </c>
      <c r="O410" s="18" t="s">
        <v>39</v>
      </c>
      <c r="P410" s="18" t="s">
        <v>413</v>
      </c>
    </row>
    <row r="411" spans="1:16" x14ac:dyDescent="0.3">
      <c r="A411" s="49" t="s">
        <v>416</v>
      </c>
      <c r="B411" s="191" t="s">
        <v>88</v>
      </c>
      <c r="C411" s="71">
        <v>0</v>
      </c>
      <c r="D411" s="71">
        <v>0</v>
      </c>
      <c r="E411" s="71">
        <v>0</v>
      </c>
      <c r="F411" s="71">
        <v>0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0</v>
      </c>
      <c r="N411" s="71">
        <v>0</v>
      </c>
      <c r="O411" s="18" t="s">
        <v>39</v>
      </c>
      <c r="P411" s="18" t="s">
        <v>413</v>
      </c>
    </row>
    <row r="412" spans="1:16" x14ac:dyDescent="0.3">
      <c r="A412" s="49" t="s">
        <v>417</v>
      </c>
      <c r="B412" s="191" t="s">
        <v>88</v>
      </c>
      <c r="C412" s="71">
        <v>4.7052641635616697</v>
      </c>
      <c r="D412" s="71">
        <v>8.9567211235310982</v>
      </c>
      <c r="E412" s="71">
        <v>8.670106047578102</v>
      </c>
      <c r="F412" s="71">
        <v>8.6462214579153525</v>
      </c>
      <c r="G412" s="71">
        <v>9.0283748925193468</v>
      </c>
      <c r="H412" s="71">
        <v>4.4664182669341734</v>
      </c>
      <c r="I412" s="71">
        <v>3.9887264736791819</v>
      </c>
      <c r="J412" s="71">
        <v>5.9673898538263108</v>
      </c>
      <c r="K412" s="71">
        <v>6.3429750644883907</v>
      </c>
      <c r="L412" s="71">
        <v>5.0930524505588988</v>
      </c>
      <c r="M412" s="71">
        <v>3.1840051590713663</v>
      </c>
      <c r="N412" s="71">
        <v>2.6618084264832329</v>
      </c>
      <c r="O412" s="18" t="s">
        <v>39</v>
      </c>
      <c r="P412" s="18" t="s">
        <v>413</v>
      </c>
    </row>
    <row r="413" spans="1:16" x14ac:dyDescent="0.3">
      <c r="A413" s="49" t="s">
        <v>418</v>
      </c>
      <c r="B413" s="191" t="s">
        <v>88</v>
      </c>
      <c r="C413" s="71">
        <v>0.90191554409095254</v>
      </c>
      <c r="D413" s="71">
        <v>1.6675623387790199</v>
      </c>
      <c r="E413" s="71">
        <v>2.889154485525939</v>
      </c>
      <c r="F413" s="71">
        <v>2.7362185917645934</v>
      </c>
      <c r="G413" s="71">
        <v>3.0090761440718445</v>
      </c>
      <c r="H413" s="71">
        <v>2.2694563867392756</v>
      </c>
      <c r="I413" s="71">
        <v>2.5219925480080252</v>
      </c>
      <c r="J413" s="71">
        <v>0</v>
      </c>
      <c r="K413" s="71">
        <v>0</v>
      </c>
      <c r="L413" s="71">
        <v>0.10729702875704597</v>
      </c>
      <c r="M413" s="71">
        <v>0</v>
      </c>
      <c r="N413" s="71">
        <v>0</v>
      </c>
      <c r="O413" s="18" t="s">
        <v>39</v>
      </c>
      <c r="P413" s="18" t="s">
        <v>413</v>
      </c>
    </row>
    <row r="414" spans="1:16" x14ac:dyDescent="0.3">
      <c r="A414" s="50" t="s">
        <v>419</v>
      </c>
      <c r="B414" s="193" t="s">
        <v>88</v>
      </c>
      <c r="C414" s="94">
        <v>82.532077003917081</v>
      </c>
      <c r="D414" s="94">
        <v>106.53405584217063</v>
      </c>
      <c r="E414" s="94">
        <v>104.48687541798031</v>
      </c>
      <c r="F414" s="94">
        <v>100.43828222031145</v>
      </c>
      <c r="G414" s="94">
        <v>104.93981083404987</v>
      </c>
      <c r="H414" s="94">
        <v>51.331207604853347</v>
      </c>
      <c r="I414" s="94">
        <v>44.153458488583162</v>
      </c>
      <c r="J414" s="94">
        <v>78.851411505684524</v>
      </c>
      <c r="K414" s="94">
        <v>86.243867024935497</v>
      </c>
      <c r="L414" s="94">
        <v>80.818720636285462</v>
      </c>
      <c r="M414" s="94">
        <v>7.3217787904843785</v>
      </c>
      <c r="N414" s="94">
        <v>2.6618084264832329</v>
      </c>
      <c r="O414" s="18" t="s">
        <v>39</v>
      </c>
      <c r="P414" s="18" t="s">
        <v>413</v>
      </c>
    </row>
    <row r="415" spans="1:16" x14ac:dyDescent="0.3">
      <c r="A415" s="24" t="s">
        <v>102</v>
      </c>
      <c r="B415" s="25" t="s">
        <v>103</v>
      </c>
      <c r="C415" s="87">
        <f t="shared" ref="C415" si="31">IFERROR((C400+C401+C402+C404+C405+C407+C408+C409+C410+C411+C412+C413)/C414,"")</f>
        <v>0.99999999999999978</v>
      </c>
      <c r="D415" s="87">
        <f t="shared" ref="D415:N415" si="32">IFERROR((D400+D401+D402+D404+D405+D407+D408+D409+D410+D411+D412+D413)/D414,"")</f>
        <v>1</v>
      </c>
      <c r="E415" s="87">
        <f t="shared" si="32"/>
        <v>1</v>
      </c>
      <c r="F415" s="87">
        <f t="shared" si="32"/>
        <v>1</v>
      </c>
      <c r="G415" s="87">
        <f t="shared" si="32"/>
        <v>1</v>
      </c>
      <c r="H415" s="87">
        <f t="shared" si="32"/>
        <v>1</v>
      </c>
      <c r="I415" s="87">
        <f t="shared" si="32"/>
        <v>0.99999999999999989</v>
      </c>
      <c r="J415" s="87">
        <f t="shared" si="32"/>
        <v>1.0000000000000002</v>
      </c>
      <c r="K415" s="87">
        <f t="shared" si="32"/>
        <v>1.0033403630299931</v>
      </c>
      <c r="L415" s="87">
        <f t="shared" si="32"/>
        <v>1.0036700618083823</v>
      </c>
      <c r="M415" s="87">
        <f t="shared" si="32"/>
        <v>1</v>
      </c>
      <c r="N415" s="87">
        <f t="shared" si="32"/>
        <v>1</v>
      </c>
      <c r="O415" s="52"/>
      <c r="P415" s="52"/>
    </row>
    <row r="416" spans="1:16" x14ac:dyDescent="0.3">
      <c r="A416" s="49"/>
      <c r="B416" s="52"/>
      <c r="C416" s="87">
        <f t="shared" ref="C416" si="33">IFERROR((C399+C403+C406+C411+C412+C413)/C414,"")</f>
        <v>0.99999999999999978</v>
      </c>
      <c r="D416" s="87">
        <f t="shared" ref="D416:N416" si="34">IFERROR((D399+D403+D406+D411+D412+D413)/D414,"")</f>
        <v>1</v>
      </c>
      <c r="E416" s="87">
        <f t="shared" si="34"/>
        <v>1</v>
      </c>
      <c r="F416" s="87">
        <f t="shared" si="34"/>
        <v>1</v>
      </c>
      <c r="G416" s="87">
        <f t="shared" si="34"/>
        <v>1</v>
      </c>
      <c r="H416" s="87">
        <f t="shared" si="34"/>
        <v>1</v>
      </c>
      <c r="I416" s="87">
        <f t="shared" si="34"/>
        <v>0.99999999999999989</v>
      </c>
      <c r="J416" s="87">
        <f t="shared" si="34"/>
        <v>1.0000000000000002</v>
      </c>
      <c r="K416" s="87">
        <f t="shared" si="34"/>
        <v>1.0033403630299931</v>
      </c>
      <c r="L416" s="87">
        <f t="shared" si="34"/>
        <v>1.0012665644927443</v>
      </c>
      <c r="M416" s="87">
        <f t="shared" si="34"/>
        <v>1</v>
      </c>
      <c r="N416" s="87">
        <f t="shared" si="34"/>
        <v>1</v>
      </c>
      <c r="O416" s="52"/>
      <c r="P416" s="52"/>
    </row>
    <row r="417" spans="1:16" x14ac:dyDescent="0.3">
      <c r="A417" s="49"/>
      <c r="B417" s="52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spans="1:16" ht="18" x14ac:dyDescent="0.35">
      <c r="A418" s="77" t="s">
        <v>183</v>
      </c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x14ac:dyDescent="0.3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ht="15.6" x14ac:dyDescent="0.3">
      <c r="A420" s="8" t="s">
        <v>420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1:16" ht="15.6" x14ac:dyDescent="0.3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1:16" ht="15.6" x14ac:dyDescent="0.3">
      <c r="A422" s="58" t="s">
        <v>421</v>
      </c>
      <c r="B422" s="79">
        <v>1</v>
      </c>
      <c r="C422" s="87">
        <f>C445</f>
        <v>1.0004673969163027</v>
      </c>
      <c r="D422" s="87">
        <f t="shared" ref="D422:N422" si="35">D445</f>
        <v>1.000482363786608</v>
      </c>
      <c r="E422" s="87">
        <f t="shared" si="35"/>
        <v>0.9994587914469798</v>
      </c>
      <c r="F422" s="87">
        <f t="shared" si="35"/>
        <v>1.0000805203681356</v>
      </c>
      <c r="G422" s="87">
        <f t="shared" si="35"/>
        <v>1.0000110987888828</v>
      </c>
      <c r="H422" s="87">
        <f t="shared" si="35"/>
        <v>0.99968783134852379</v>
      </c>
      <c r="I422" s="87">
        <f t="shared" si="35"/>
        <v>0.99993673888674284</v>
      </c>
      <c r="J422" s="87">
        <f t="shared" si="35"/>
        <v>0.99995656348289841</v>
      </c>
      <c r="K422" s="87">
        <f t="shared" si="35"/>
        <v>0.99994211559882551</v>
      </c>
      <c r="L422" s="87">
        <f t="shared" si="35"/>
        <v>1.0033519138524161</v>
      </c>
      <c r="M422" s="87">
        <f t="shared" si="35"/>
        <v>1.0002048480710137</v>
      </c>
      <c r="N422" s="87">
        <f t="shared" si="35"/>
        <v>1.0000000000000002</v>
      </c>
      <c r="O422" s="78"/>
      <c r="P422" s="78"/>
    </row>
    <row r="423" spans="1:16" ht="15.6" x14ac:dyDescent="0.3">
      <c r="A423" s="58" t="s">
        <v>422</v>
      </c>
      <c r="B423" s="79">
        <v>1</v>
      </c>
      <c r="C423" s="87">
        <f>C452</f>
        <v>1.0004027508247264</v>
      </c>
      <c r="D423" s="87">
        <f t="shared" ref="D423:N423" si="36">D452</f>
        <v>1.000437486979652</v>
      </c>
      <c r="E423" s="87">
        <f t="shared" si="36"/>
        <v>0.99982974357711674</v>
      </c>
      <c r="F423" s="87">
        <f t="shared" si="36"/>
        <v>1.0000522074891733</v>
      </c>
      <c r="G423" s="87">
        <f t="shared" si="36"/>
        <v>0.99996040972090094</v>
      </c>
      <c r="H423" s="87">
        <f t="shared" si="36"/>
        <v>0.99985338594379058</v>
      </c>
      <c r="I423" s="87">
        <f t="shared" si="36"/>
        <v>0.99983825297210116</v>
      </c>
      <c r="J423" s="87">
        <f t="shared" si="36"/>
        <v>0.99992230245102387</v>
      </c>
      <c r="K423" s="87">
        <f t="shared" si="36"/>
        <v>0.99997643631437927</v>
      </c>
      <c r="L423" s="87">
        <f t="shared" si="36"/>
        <v>1.0030907915330793</v>
      </c>
      <c r="M423" s="87">
        <f t="shared" si="36"/>
        <v>1.0008780659134813</v>
      </c>
      <c r="N423" s="87">
        <f t="shared" si="36"/>
        <v>1.0000631592244049</v>
      </c>
      <c r="O423" s="78"/>
      <c r="P423" s="78"/>
    </row>
    <row r="424" spans="1:16" ht="15.6" x14ac:dyDescent="0.3">
      <c r="A424" s="58" t="s">
        <v>423</v>
      </c>
      <c r="B424" s="79">
        <v>1</v>
      </c>
      <c r="C424" s="87">
        <f>C477</f>
        <v>1.0008437319596786</v>
      </c>
      <c r="D424" s="87">
        <f t="shared" ref="D424:N424" si="37">D477</f>
        <v>1</v>
      </c>
      <c r="E424" s="87">
        <f t="shared" si="37"/>
        <v>1</v>
      </c>
      <c r="F424" s="87">
        <f t="shared" si="37"/>
        <v>1</v>
      </c>
      <c r="G424" s="87">
        <f t="shared" si="37"/>
        <v>1</v>
      </c>
      <c r="H424" s="87">
        <f t="shared" si="37"/>
        <v>1</v>
      </c>
      <c r="I424" s="87">
        <f t="shared" si="37"/>
        <v>1</v>
      </c>
      <c r="J424" s="87">
        <f t="shared" si="37"/>
        <v>1</v>
      </c>
      <c r="K424" s="87">
        <f t="shared" si="37"/>
        <v>1</v>
      </c>
      <c r="L424" s="87">
        <f t="shared" si="37"/>
        <v>1</v>
      </c>
      <c r="M424" s="87">
        <f t="shared" si="37"/>
        <v>1</v>
      </c>
      <c r="N424" s="87">
        <f t="shared" si="37"/>
        <v>1</v>
      </c>
      <c r="O424" s="78"/>
      <c r="P424" s="78"/>
    </row>
    <row r="425" spans="1:16" ht="15.6" x14ac:dyDescent="0.3">
      <c r="A425" s="58" t="s">
        <v>424</v>
      </c>
      <c r="B425" s="79">
        <v>1</v>
      </c>
      <c r="C425" s="87">
        <f>C484</f>
        <v>1.0105949176701099</v>
      </c>
      <c r="D425" s="87">
        <f t="shared" ref="D425:N425" si="38">D484</f>
        <v>1.0027004118593794</v>
      </c>
      <c r="E425" s="87">
        <f t="shared" si="38"/>
        <v>1.0029906070663548</v>
      </c>
      <c r="F425" s="87">
        <f t="shared" si="38"/>
        <v>1.0024320599076861</v>
      </c>
      <c r="G425" s="87">
        <f t="shared" si="38"/>
        <v>1.0010829045669349</v>
      </c>
      <c r="H425" s="87">
        <f t="shared" si="38"/>
        <v>1.0000034123317239</v>
      </c>
      <c r="I425" s="87">
        <f t="shared" si="38"/>
        <v>1.0000267064585247</v>
      </c>
      <c r="J425" s="87">
        <f t="shared" si="38"/>
        <v>0.99965647401232449</v>
      </c>
      <c r="K425" s="87">
        <f t="shared" si="38"/>
        <v>1.0090501156911473</v>
      </c>
      <c r="L425" s="87">
        <f t="shared" si="38"/>
        <v>1.0118440454353042</v>
      </c>
      <c r="M425" s="87">
        <f t="shared" si="38"/>
        <v>0.98720229307086049</v>
      </c>
      <c r="N425" s="87">
        <f t="shared" si="38"/>
        <v>0.99037568033983803</v>
      </c>
      <c r="O425" s="78"/>
      <c r="P425" s="78"/>
    </row>
    <row r="426" spans="1:16" x14ac:dyDescent="0.3">
      <c r="A426" s="58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</row>
    <row r="427" spans="1:16" ht="15.6" x14ac:dyDescent="0.3">
      <c r="A427" s="8" t="s">
        <v>425</v>
      </c>
      <c r="B427" s="8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</row>
    <row r="428" spans="1:16" x14ac:dyDescent="0.3">
      <c r="A428" s="58"/>
      <c r="B428" s="58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</row>
    <row r="429" spans="1:16" x14ac:dyDescent="0.3">
      <c r="A429" s="58" t="s">
        <v>426</v>
      </c>
      <c r="B429" s="52" t="s">
        <v>203</v>
      </c>
      <c r="C429" s="83">
        <f>C142/1000</f>
        <v>6.9432502149613065E-2</v>
      </c>
      <c r="D429" s="83">
        <f t="shared" ref="D429:N429" si="39">D142/1000</f>
        <v>6.1455049202254697E-2</v>
      </c>
      <c r="E429" s="83">
        <f t="shared" si="39"/>
        <v>6.0642973153721212E-2</v>
      </c>
      <c r="F429" s="83">
        <f t="shared" si="39"/>
        <v>6.4010700296168926E-2</v>
      </c>
      <c r="G429" s="83">
        <f t="shared" si="39"/>
        <v>6.3485239323588405E-2</v>
      </c>
      <c r="H429" s="83">
        <f t="shared" si="39"/>
        <v>6.4464507499761139E-2</v>
      </c>
      <c r="I429" s="83">
        <f t="shared" si="39"/>
        <v>6.6972389414349853E-2</v>
      </c>
      <c r="J429" s="83">
        <f t="shared" si="39"/>
        <v>5.746632272857552E-2</v>
      </c>
      <c r="K429" s="83">
        <f t="shared" si="39"/>
        <v>5.6391516193751781E-2</v>
      </c>
      <c r="L429" s="83">
        <f t="shared" si="39"/>
        <v>6.5587083213910394E-2</v>
      </c>
      <c r="M429" s="83">
        <f t="shared" si="39"/>
        <v>7.086557752937804E-2</v>
      </c>
      <c r="N429" s="83">
        <f t="shared" si="39"/>
        <v>6.6064775007165372E-2</v>
      </c>
      <c r="O429" s="79"/>
      <c r="P429" s="79"/>
    </row>
    <row r="430" spans="1:16" x14ac:dyDescent="0.3">
      <c r="A430" s="58" t="s">
        <v>427</v>
      </c>
      <c r="B430" s="52" t="s">
        <v>203</v>
      </c>
      <c r="C430" s="83">
        <f>C162/1000</f>
        <v>1.9870000000000002E-2</v>
      </c>
      <c r="D430" s="83">
        <f t="shared" ref="D430:N430" si="40">D162/1000</f>
        <v>1.6295E-2</v>
      </c>
      <c r="E430" s="83">
        <f t="shared" si="40"/>
        <v>1.5800000000000002E-2</v>
      </c>
      <c r="F430" s="83">
        <f t="shared" si="40"/>
        <v>1.3942E-2</v>
      </c>
      <c r="G430" s="83">
        <f t="shared" si="40"/>
        <v>1.4801999999999999E-2</v>
      </c>
      <c r="H430" s="83">
        <f t="shared" si="40"/>
        <v>1.3256E-2</v>
      </c>
      <c r="I430" s="83">
        <f t="shared" si="40"/>
        <v>1.1403E-2</v>
      </c>
      <c r="J430" s="83">
        <f t="shared" si="40"/>
        <v>8.7899999999999992E-3</v>
      </c>
      <c r="K430" s="83">
        <f t="shared" si="40"/>
        <v>8.7889999999999999E-3</v>
      </c>
      <c r="L430" s="83">
        <f t="shared" si="40"/>
        <v>9.0160248304593914E-3</v>
      </c>
      <c r="M430" s="83">
        <f t="shared" si="40"/>
        <v>8.6462214579153523E-3</v>
      </c>
      <c r="N430" s="83">
        <f t="shared" si="40"/>
        <v>1.0939142065539312E-2</v>
      </c>
      <c r="O430" s="79"/>
      <c r="P430" s="79"/>
    </row>
    <row r="431" spans="1:16" x14ac:dyDescent="0.3">
      <c r="A431" s="58" t="s">
        <v>428</v>
      </c>
      <c r="B431" s="52" t="s">
        <v>203</v>
      </c>
      <c r="C431" s="83">
        <f>C182/1000</f>
        <v>0.11504605470982482</v>
      </c>
      <c r="D431" s="83">
        <f t="shared" ref="D431:N431" si="41">D182/1000</f>
        <v>0.12308609996518416</v>
      </c>
      <c r="E431" s="83">
        <f t="shared" si="41"/>
        <v>9.8927316223699255E-2</v>
      </c>
      <c r="F431" s="83">
        <f t="shared" si="41"/>
        <v>0.1157826253219288</v>
      </c>
      <c r="G431" s="83">
        <f t="shared" si="41"/>
        <v>0.12170727046909334</v>
      </c>
      <c r="H431" s="83">
        <f t="shared" si="41"/>
        <v>0.13100000000000001</v>
      </c>
      <c r="I431" s="83">
        <f t="shared" si="41"/>
        <v>5.7842484901313891E-2</v>
      </c>
      <c r="J431" s="83">
        <f t="shared" si="41"/>
        <v>6.1478933791917448E-2</v>
      </c>
      <c r="K431" s="83">
        <f t="shared" si="41"/>
        <v>6.6563788382535585E-2</v>
      </c>
      <c r="L431" s="83">
        <f t="shared" si="41"/>
        <v>7.2900000000000006E-2</v>
      </c>
      <c r="M431" s="83">
        <f t="shared" si="41"/>
        <v>8.2497372695137086E-2</v>
      </c>
      <c r="N431" s="83">
        <f t="shared" si="41"/>
        <v>6.9480271328938567E-2</v>
      </c>
      <c r="O431" s="79"/>
      <c r="P431" s="79"/>
    </row>
    <row r="432" spans="1:16" x14ac:dyDescent="0.3">
      <c r="A432" s="58" t="s">
        <v>429</v>
      </c>
      <c r="B432" s="52" t="s">
        <v>203</v>
      </c>
      <c r="C432" s="83">
        <f>C203/1000</f>
        <v>6.7347068668822688E-2</v>
      </c>
      <c r="D432" s="83">
        <f t="shared" ref="D432:N432" si="42">D203/1000</f>
        <v>6.4028485973135027E-2</v>
      </c>
      <c r="E432" s="83">
        <f t="shared" si="42"/>
        <v>6.345107871589821E-2</v>
      </c>
      <c r="F432" s="83">
        <f t="shared" si="42"/>
        <v>6.1010086590482106E-2</v>
      </c>
      <c r="G432" s="83">
        <f t="shared" si="42"/>
        <v>5.9328743211778591E-2</v>
      </c>
      <c r="H432" s="83">
        <f t="shared" si="42"/>
        <v>5.9658365839626332E-2</v>
      </c>
      <c r="I432" s="83">
        <f t="shared" si="42"/>
        <v>6.167544648108915E-2</v>
      </c>
      <c r="J432" s="83">
        <f t="shared" si="42"/>
        <v>7.2376489959090504E-2</v>
      </c>
      <c r="K432" s="83">
        <f t="shared" si="42"/>
        <v>7.6999999999999999E-2</v>
      </c>
      <c r="L432" s="83">
        <f t="shared" si="42"/>
        <v>6.2076048533486194E-2</v>
      </c>
      <c r="M432" s="83">
        <f t="shared" si="42"/>
        <v>6.3007547530333427E-2</v>
      </c>
      <c r="N432" s="83">
        <f t="shared" si="42"/>
        <v>5.8469475494410998E-2</v>
      </c>
      <c r="O432" s="79"/>
      <c r="P432" s="79"/>
    </row>
    <row r="433" spans="1:16" x14ac:dyDescent="0.3">
      <c r="A433" s="58" t="s">
        <v>430</v>
      </c>
      <c r="B433" s="52" t="s">
        <v>203</v>
      </c>
      <c r="C433" s="83">
        <f>C223/1000</f>
        <v>4.9856567287388937E-2</v>
      </c>
      <c r="D433" s="83">
        <f t="shared" ref="D433:N433" si="43">D223/1000</f>
        <v>4.0778967593936351E-2</v>
      </c>
      <c r="E433" s="83">
        <f t="shared" si="43"/>
        <v>4.6540877929626676E-2</v>
      </c>
      <c r="F433" s="83">
        <f t="shared" si="43"/>
        <v>7.4572540489300496E-2</v>
      </c>
      <c r="G433" s="83">
        <f t="shared" si="43"/>
        <v>3.0595120389427216E-2</v>
      </c>
      <c r="H433" s="83">
        <f t="shared" si="43"/>
        <v>4.2114847902754528E-2</v>
      </c>
      <c r="I433" s="83">
        <f t="shared" si="43"/>
        <v>3.7855963030821296E-2</v>
      </c>
      <c r="J433" s="83">
        <f t="shared" si="43"/>
        <v>3.6329776852338715E-2</v>
      </c>
      <c r="K433" s="83">
        <f t="shared" si="43"/>
        <v>3.3411020378902409E-2</v>
      </c>
      <c r="L433" s="83">
        <f t="shared" si="43"/>
        <v>3.4676026068814932E-2</v>
      </c>
      <c r="M433" s="83">
        <f t="shared" si="43"/>
        <v>3.2291965224037447E-2</v>
      </c>
      <c r="N433" s="83">
        <f t="shared" si="43"/>
        <v>3.6447883825355881E-2</v>
      </c>
      <c r="O433" s="79"/>
      <c r="P433" s="79"/>
    </row>
    <row r="434" spans="1:16" x14ac:dyDescent="0.3">
      <c r="A434" s="58" t="s">
        <v>431</v>
      </c>
      <c r="B434" s="52" t="s">
        <v>203</v>
      </c>
      <c r="C434" s="83">
        <f>C243/1000</f>
        <v>0.1136189930256998</v>
      </c>
      <c r="D434" s="83">
        <f t="shared" ref="D434:N434" si="44">D243/1000</f>
        <v>0.12806916977166333</v>
      </c>
      <c r="E434" s="83">
        <f t="shared" si="44"/>
        <v>0.11677175886118277</v>
      </c>
      <c r="F434" s="83">
        <f t="shared" si="44"/>
        <v>0.16542466800420369</v>
      </c>
      <c r="G434" s="83">
        <f t="shared" si="44"/>
        <v>0.12933505302378903</v>
      </c>
      <c r="H434" s="83">
        <f t="shared" si="44"/>
        <v>8.4981370020063049E-2</v>
      </c>
      <c r="I434" s="83">
        <f t="shared" si="44"/>
        <v>7.4209420082162983E-2</v>
      </c>
      <c r="J434" s="83">
        <f t="shared" si="44"/>
        <v>9.5633897009649374E-2</v>
      </c>
      <c r="K434" s="83">
        <f t="shared" si="44"/>
        <v>0.10717015381675742</v>
      </c>
      <c r="L434" s="83">
        <f t="shared" si="44"/>
        <v>9.6445973058182852E-2</v>
      </c>
      <c r="M434" s="83">
        <f t="shared" si="44"/>
        <v>3.3725040603802429E-2</v>
      </c>
      <c r="N434" s="83">
        <f t="shared" si="44"/>
        <v>3.159931212381771E-2</v>
      </c>
      <c r="O434" s="79"/>
      <c r="P434" s="79"/>
    </row>
    <row r="435" spans="1:16" x14ac:dyDescent="0.3">
      <c r="A435" s="59" t="s">
        <v>432</v>
      </c>
      <c r="B435" s="52" t="s">
        <v>203</v>
      </c>
      <c r="C435" s="81">
        <f>C414/1000</f>
        <v>8.2532077003917084E-2</v>
      </c>
      <c r="D435" s="81">
        <f t="shared" ref="D435:N435" si="45">D414/1000</f>
        <v>0.10653405584217063</v>
      </c>
      <c r="E435" s="81">
        <f t="shared" si="45"/>
        <v>0.10448687541798031</v>
      </c>
      <c r="F435" s="81">
        <f t="shared" si="45"/>
        <v>0.10043828222031145</v>
      </c>
      <c r="G435" s="81">
        <f t="shared" si="45"/>
        <v>0.10493981083404987</v>
      </c>
      <c r="H435" s="81">
        <f t="shared" si="45"/>
        <v>5.1331207604853345E-2</v>
      </c>
      <c r="I435" s="81">
        <f t="shared" si="45"/>
        <v>4.415345848858316E-2</v>
      </c>
      <c r="J435" s="81">
        <f t="shared" si="45"/>
        <v>7.8851411505684518E-2</v>
      </c>
      <c r="K435" s="81">
        <f t="shared" si="45"/>
        <v>8.62438670249355E-2</v>
      </c>
      <c r="L435" s="81">
        <f t="shared" si="45"/>
        <v>8.0818720636285465E-2</v>
      </c>
      <c r="M435" s="81">
        <f t="shared" si="45"/>
        <v>7.3217787904843786E-3</v>
      </c>
      <c r="N435" s="81">
        <f t="shared" si="45"/>
        <v>2.6618084264832327E-3</v>
      </c>
      <c r="O435" s="79"/>
      <c r="P435" s="79"/>
    </row>
    <row r="436" spans="1:16" x14ac:dyDescent="0.3">
      <c r="A436" s="58" t="s">
        <v>433</v>
      </c>
      <c r="B436" s="52" t="s">
        <v>203</v>
      </c>
      <c r="C436" s="83">
        <f>C263/1000</f>
        <v>4.0603802426674308E-4</v>
      </c>
      <c r="D436" s="83">
        <f t="shared" ref="D436:N436" si="46">D263/1000</f>
        <v>4.0603802426674308E-4</v>
      </c>
      <c r="E436" s="83">
        <f t="shared" si="46"/>
        <v>1.9107671730199673E-4</v>
      </c>
      <c r="F436" s="83">
        <f t="shared" si="46"/>
        <v>1.9107671730199673E-4</v>
      </c>
      <c r="G436" s="83">
        <f t="shared" si="46"/>
        <v>1.4330753797649757E-4</v>
      </c>
      <c r="H436" s="83">
        <f t="shared" si="46"/>
        <v>1.1942294831374796E-4</v>
      </c>
      <c r="I436" s="83">
        <f t="shared" si="46"/>
        <v>4.0603802426674308E-4</v>
      </c>
      <c r="J436" s="83">
        <f t="shared" si="46"/>
        <v>4.2992261392949265E-4</v>
      </c>
      <c r="K436" s="83">
        <f t="shared" si="46"/>
        <v>5.7323015190599027E-4</v>
      </c>
      <c r="L436" s="83">
        <f t="shared" si="46"/>
        <v>1.1225757141492309E-3</v>
      </c>
      <c r="M436" s="83">
        <f t="shared" si="46"/>
        <v>9.314989968472341E-4</v>
      </c>
      <c r="N436" s="83">
        <f t="shared" si="46"/>
        <v>1.1942294831374797E-3</v>
      </c>
      <c r="O436" s="79"/>
      <c r="P436" s="79"/>
    </row>
    <row r="437" spans="1:16" x14ac:dyDescent="0.3">
      <c r="A437" s="58" t="s">
        <v>434</v>
      </c>
      <c r="B437" s="52" t="s">
        <v>203</v>
      </c>
      <c r="C437" s="83">
        <f>C283/1000</f>
        <v>2.9249522775277475E-3</v>
      </c>
      <c r="D437" s="83">
        <f t="shared" ref="D437:N437" si="47">D283/1000</f>
        <v>1.3243288430304766E-3</v>
      </c>
      <c r="E437" s="83">
        <f t="shared" si="47"/>
        <v>3.3424626212047361E-3</v>
      </c>
      <c r="F437" s="83">
        <f t="shared" si="47"/>
        <v>2.4404707284887421E-3</v>
      </c>
      <c r="G437" s="83">
        <f t="shared" si="47"/>
        <v>2.4327409955096969E-3</v>
      </c>
      <c r="H437" s="83">
        <f t="shared" si="47"/>
        <v>1.3112779074847558E-3</v>
      </c>
      <c r="I437" s="83">
        <f t="shared" si="47"/>
        <v>1.562374839713792E-3</v>
      </c>
      <c r="J437" s="83">
        <f t="shared" si="47"/>
        <v>1.0963485866539071E-3</v>
      </c>
      <c r="K437" s="83">
        <f t="shared" si="47"/>
        <v>1.3324808668515873E-3</v>
      </c>
      <c r="L437" s="83">
        <f t="shared" si="47"/>
        <v>6.6196913091948271E-4</v>
      </c>
      <c r="M437" s="83">
        <f t="shared" si="47"/>
        <v>8.1207604853348616E-4</v>
      </c>
      <c r="N437" s="83">
        <f t="shared" si="47"/>
        <v>5.0157638291774146E-4</v>
      </c>
      <c r="O437" s="79"/>
      <c r="P437" s="79"/>
    </row>
    <row r="438" spans="1:16" x14ac:dyDescent="0.3">
      <c r="A438" s="58" t="s">
        <v>435</v>
      </c>
      <c r="B438" s="52" t="s">
        <v>203</v>
      </c>
      <c r="C438" s="83">
        <f>C303/1000</f>
        <v>4.0428076388286889E-2</v>
      </c>
      <c r="D438" s="83">
        <f t="shared" ref="D438:N438" si="48">D303/1000</f>
        <v>4.2070174299775227E-2</v>
      </c>
      <c r="E438" s="83">
        <f t="shared" si="48"/>
        <v>4.318818535838486E-2</v>
      </c>
      <c r="F438" s="83">
        <f t="shared" si="48"/>
        <v>4.0159898681770535E-2</v>
      </c>
      <c r="G438" s="83">
        <f t="shared" si="48"/>
        <v>3.726311130876004E-2</v>
      </c>
      <c r="H438" s="83">
        <f t="shared" si="48"/>
        <v>3.4834109984435306E-2</v>
      </c>
      <c r="I438" s="83">
        <f t="shared" si="48"/>
        <v>3.7731528558772244E-2</v>
      </c>
      <c r="J438" s="83">
        <f t="shared" si="48"/>
        <v>3.719444368494982E-2</v>
      </c>
      <c r="K438" s="83">
        <f t="shared" si="48"/>
        <v>3.8451836400440649E-2</v>
      </c>
      <c r="L438" s="83">
        <f t="shared" si="48"/>
        <v>3.1885525678388912E-2</v>
      </c>
      <c r="M438" s="83">
        <f t="shared" si="48"/>
        <v>3.1145504920225466E-2</v>
      </c>
      <c r="N438" s="83">
        <f t="shared" si="48"/>
        <v>3.8931881150281837E-2</v>
      </c>
      <c r="O438" s="79"/>
      <c r="P438" s="79"/>
    </row>
    <row r="439" spans="1:16" x14ac:dyDescent="0.3">
      <c r="A439" s="59" t="s">
        <v>436</v>
      </c>
      <c r="B439" s="52" t="s">
        <v>203</v>
      </c>
      <c r="C439" s="81">
        <v>0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81">
        <v>0</v>
      </c>
      <c r="K439" s="81">
        <v>0</v>
      </c>
      <c r="L439" s="81">
        <v>0</v>
      </c>
      <c r="M439" s="81">
        <v>0</v>
      </c>
      <c r="N439" s="81">
        <v>0</v>
      </c>
      <c r="O439" s="79"/>
      <c r="P439" s="79"/>
    </row>
    <row r="440" spans="1:16" x14ac:dyDescent="0.3">
      <c r="A440" s="58" t="s">
        <v>437</v>
      </c>
      <c r="B440" s="52" t="s">
        <v>203</v>
      </c>
      <c r="C440" s="83">
        <f>C323/1000</f>
        <v>7.3710000000000008E-3</v>
      </c>
      <c r="D440" s="83">
        <f t="shared" ref="D440:N440" si="49">D323/1000</f>
        <v>6.9889999999999996E-3</v>
      </c>
      <c r="E440" s="83">
        <f t="shared" si="49"/>
        <v>1.0430999999999999E-2</v>
      </c>
      <c r="F440" s="83">
        <f t="shared" si="49"/>
        <v>1.1998E-2</v>
      </c>
      <c r="G440" s="83">
        <f t="shared" si="49"/>
        <v>1.0300999999999999E-2</v>
      </c>
      <c r="H440" s="83">
        <f t="shared" si="49"/>
        <v>1.0523999999999999E-2</v>
      </c>
      <c r="I440" s="83">
        <f t="shared" si="49"/>
        <v>1.0659999999999999E-2</v>
      </c>
      <c r="J440" s="83">
        <f t="shared" si="49"/>
        <v>1.0932000000000001E-2</v>
      </c>
      <c r="K440" s="83">
        <f t="shared" si="49"/>
        <v>1.1842999999999999E-2</v>
      </c>
      <c r="L440" s="83">
        <f t="shared" si="49"/>
        <v>8.3808170755988246E-3</v>
      </c>
      <c r="M440" s="83">
        <f t="shared" si="49"/>
        <v>7.9535683576956138E-3</v>
      </c>
      <c r="N440" s="83">
        <f t="shared" si="49"/>
        <v>8.24018343364861E-3</v>
      </c>
      <c r="O440" s="79"/>
      <c r="P440" s="79"/>
    </row>
    <row r="441" spans="1:16" x14ac:dyDescent="0.3">
      <c r="A441" s="58" t="s">
        <v>438</v>
      </c>
      <c r="B441" s="52" t="s">
        <v>203</v>
      </c>
      <c r="C441" s="83">
        <f>C343/1000</f>
        <v>4.6358983081956621E-2</v>
      </c>
      <c r="D441" s="83">
        <f t="shared" ref="D441:N441" si="50">D343/1000</f>
        <v>4.4868227192444488E-2</v>
      </c>
      <c r="E441" s="83">
        <f t="shared" si="50"/>
        <v>4.1230431025381889E-2</v>
      </c>
      <c r="F441" s="83">
        <f t="shared" si="50"/>
        <v>2.7374991733725741E-2</v>
      </c>
      <c r="G441" s="83">
        <f t="shared" si="50"/>
        <v>2.6527652971795206E-2</v>
      </c>
      <c r="H441" s="83">
        <f t="shared" si="50"/>
        <v>3.4204299735714087E-2</v>
      </c>
      <c r="I441" s="83">
        <f t="shared" si="50"/>
        <v>2.5249777152166083E-2</v>
      </c>
      <c r="J441" s="83">
        <f t="shared" si="50"/>
        <v>2.4578854788445566E-2</v>
      </c>
      <c r="K441" s="83">
        <f t="shared" si="50"/>
        <v>2.3857775780065978E-2</v>
      </c>
      <c r="L441" s="83">
        <f t="shared" si="50"/>
        <v>2.0812641641028338E-2</v>
      </c>
      <c r="M441" s="83">
        <f t="shared" si="50"/>
        <v>1.7985096016050441E-2</v>
      </c>
      <c r="N441" s="83">
        <f t="shared" si="50"/>
        <v>1.9274863857838921E-2</v>
      </c>
      <c r="O441" s="79"/>
      <c r="P441" s="79"/>
    </row>
    <row r="442" spans="1:16" x14ac:dyDescent="0.3">
      <c r="A442" s="59" t="s">
        <v>439</v>
      </c>
      <c r="B442" s="52" t="s">
        <v>203</v>
      </c>
      <c r="C442" s="82">
        <f t="shared" ref="C442:L442" ca="1" si="51">IF(C$600&gt;UPDATEYR,"",IF(VLOOKUP($A442,$A$8:$AL$589,4,0)="TJ",IFERROR(INDEX($A$8:$AL$589,MATCH($A442,$A$8:$A$589,0),MATCH(C$600,$A$8:$AL$8,0))/1000/41.868,0),IFERROR(INDEX($A$8:$AL$589,MATCH($A442,$A$8:$A$589,0),MATCH(C$600,$A$8:$AL$8,0))/1000,0)))</f>
        <v>0</v>
      </c>
      <c r="D442" s="82">
        <f t="shared" ca="1" si="51"/>
        <v>0</v>
      </c>
      <c r="E442" s="82">
        <f t="shared" ca="1" si="51"/>
        <v>0</v>
      </c>
      <c r="F442" s="82">
        <f t="shared" ca="1" si="51"/>
        <v>0</v>
      </c>
      <c r="G442" s="82">
        <f t="shared" ca="1" si="51"/>
        <v>0</v>
      </c>
      <c r="H442" s="82">
        <f t="shared" ca="1" si="51"/>
        <v>0</v>
      </c>
      <c r="I442" s="82">
        <f t="shared" ca="1" si="51"/>
        <v>0</v>
      </c>
      <c r="J442" s="82">
        <f t="shared" ca="1" si="51"/>
        <v>0</v>
      </c>
      <c r="K442" s="82">
        <f t="shared" ca="1" si="51"/>
        <v>0</v>
      </c>
      <c r="L442" s="82">
        <f t="shared" ca="1" si="51"/>
        <v>0</v>
      </c>
      <c r="M442" s="83">
        <v>0</v>
      </c>
      <c r="N442" s="83">
        <v>0</v>
      </c>
      <c r="O442" s="79"/>
      <c r="P442" s="79"/>
    </row>
    <row r="443" spans="1:16" x14ac:dyDescent="0.3">
      <c r="A443" s="80" t="s">
        <v>440</v>
      </c>
      <c r="B443" s="52" t="s">
        <v>203</v>
      </c>
      <c r="C443" s="84">
        <f>SUM(C429:C441)-C435-C439</f>
        <v>0.53266023561338738</v>
      </c>
      <c r="D443" s="84">
        <f t="shared" ref="D443:N443" si="52">SUM(D429:D441)-D435-D439</f>
        <v>0.52937054086569058</v>
      </c>
      <c r="E443" s="84">
        <f t="shared" si="52"/>
        <v>0.50051716060640161</v>
      </c>
      <c r="F443" s="84">
        <f t="shared" si="52"/>
        <v>0.57690705856337088</v>
      </c>
      <c r="G443" s="84">
        <f t="shared" si="52"/>
        <v>0.4959212392317181</v>
      </c>
      <c r="H443" s="84">
        <f t="shared" si="52"/>
        <v>0.47646820183815297</v>
      </c>
      <c r="I443" s="84">
        <f t="shared" si="52"/>
        <v>0.385568422484656</v>
      </c>
      <c r="J443" s="84">
        <f t="shared" si="52"/>
        <v>0.40630699001555037</v>
      </c>
      <c r="K443" s="84">
        <f t="shared" si="52"/>
        <v>0.42538380197121139</v>
      </c>
      <c r="L443" s="84">
        <f t="shared" si="52"/>
        <v>0.40356468494493863</v>
      </c>
      <c r="M443" s="84">
        <f t="shared" si="52"/>
        <v>0.34986146937995599</v>
      </c>
      <c r="N443" s="84">
        <f t="shared" si="52"/>
        <v>0.34114359415305245</v>
      </c>
      <c r="O443" s="79"/>
      <c r="P443" s="79"/>
    </row>
    <row r="444" spans="1:16" x14ac:dyDescent="0.3">
      <c r="A444" s="80" t="s">
        <v>441</v>
      </c>
      <c r="B444" s="49"/>
      <c r="C444" s="93">
        <f>C122/1000</f>
        <v>0.53241138817235123</v>
      </c>
      <c r="D444" s="93">
        <f t="shared" ref="D444:N444" si="53">D122/1000</f>
        <v>0.52911531479889184</v>
      </c>
      <c r="E444" s="93">
        <f t="shared" si="53"/>
        <v>0.50078819145887066</v>
      </c>
      <c r="F444" s="93">
        <f t="shared" si="53"/>
        <v>0.57686060953472829</v>
      </c>
      <c r="G444" s="93">
        <f t="shared" si="53"/>
        <v>0.49591573516766985</v>
      </c>
      <c r="H444" s="93">
        <f t="shared" si="53"/>
        <v>0.47661698672016806</v>
      </c>
      <c r="I444" s="93">
        <f t="shared" si="53"/>
        <v>0.38559281551542945</v>
      </c>
      <c r="J444" s="93">
        <f t="shared" si="53"/>
        <v>0.40632463934269597</v>
      </c>
      <c r="K444" s="93">
        <f t="shared" si="53"/>
        <v>0.42540842648323296</v>
      </c>
      <c r="L444" s="93">
        <f t="shared" si="53"/>
        <v>0.40221648992070325</v>
      </c>
      <c r="M444" s="93">
        <f t="shared" si="53"/>
        <v>0.34978981561096784</v>
      </c>
      <c r="N444" s="93">
        <f t="shared" si="53"/>
        <v>0.3411435941530524</v>
      </c>
      <c r="O444" s="79"/>
      <c r="P444" s="79"/>
    </row>
    <row r="445" spans="1:16" x14ac:dyDescent="0.3">
      <c r="A445" s="24" t="s">
        <v>442</v>
      </c>
      <c r="B445" s="49"/>
      <c r="C445" s="87">
        <f t="shared" ref="C445:N445" si="54">IFERROR((C443/C444),"")</f>
        <v>1.0004673969163027</v>
      </c>
      <c r="D445" s="87">
        <f t="shared" si="54"/>
        <v>1.000482363786608</v>
      </c>
      <c r="E445" s="87">
        <f t="shared" si="54"/>
        <v>0.9994587914469798</v>
      </c>
      <c r="F445" s="87">
        <f t="shared" si="54"/>
        <v>1.0000805203681356</v>
      </c>
      <c r="G445" s="87">
        <f t="shared" si="54"/>
        <v>1.0000110987888828</v>
      </c>
      <c r="H445" s="87">
        <f t="shared" si="54"/>
        <v>0.99968783134852379</v>
      </c>
      <c r="I445" s="87">
        <f t="shared" si="54"/>
        <v>0.99993673888674284</v>
      </c>
      <c r="J445" s="87">
        <f t="shared" si="54"/>
        <v>0.99995656348289841</v>
      </c>
      <c r="K445" s="87">
        <f t="shared" si="54"/>
        <v>0.99994211559882551</v>
      </c>
      <c r="L445" s="87">
        <f t="shared" si="54"/>
        <v>1.0033519138524161</v>
      </c>
      <c r="M445" s="87">
        <f t="shared" si="54"/>
        <v>1.0002048480710137</v>
      </c>
      <c r="N445" s="87">
        <f t="shared" si="54"/>
        <v>1.0000000000000002</v>
      </c>
      <c r="O445" s="79"/>
      <c r="P445" s="79"/>
    </row>
    <row r="446" spans="1:16" x14ac:dyDescent="0.3">
      <c r="A446" s="42"/>
      <c r="B446" s="49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79"/>
      <c r="P446" s="79"/>
    </row>
    <row r="447" spans="1:16" x14ac:dyDescent="0.3">
      <c r="A447" s="58" t="s">
        <v>443</v>
      </c>
      <c r="B447" s="52" t="s">
        <v>203</v>
      </c>
      <c r="C447" s="83">
        <f>C366/1000</f>
        <v>9.0202878499668782E-3</v>
      </c>
      <c r="D447" s="83">
        <f t="shared" ref="D447:N447" si="55">D366/1000</f>
        <v>1.0152126935654E-2</v>
      </c>
      <c r="E447" s="83">
        <f t="shared" si="55"/>
        <v>1.3443166441968366E-2</v>
      </c>
      <c r="F447" s="83">
        <f t="shared" si="55"/>
        <v>1.4216826056353386E-2</v>
      </c>
      <c r="G447" s="83">
        <f t="shared" si="55"/>
        <v>1.1589906617269724E-2</v>
      </c>
      <c r="H447" s="83">
        <f t="shared" si="55"/>
        <v>1.0923699727104849E-2</v>
      </c>
      <c r="I447" s="83">
        <f t="shared" si="55"/>
        <v>1.2151054828033182E-2</v>
      </c>
      <c r="J447" s="83">
        <f t="shared" si="55"/>
        <v>9.2470914852860308E-3</v>
      </c>
      <c r="K447" s="83">
        <f t="shared" si="55"/>
        <v>9.7928066690664457E-3</v>
      </c>
      <c r="L447" s="83">
        <f t="shared" si="55"/>
        <v>7.8105904606526584E-3</v>
      </c>
      <c r="M447" s="83">
        <f t="shared" si="55"/>
        <v>4.6097258049106714E-3</v>
      </c>
      <c r="N447" s="83">
        <f t="shared" si="55"/>
        <v>5.7323015190599022E-3</v>
      </c>
      <c r="O447" s="79"/>
      <c r="P447" s="79"/>
    </row>
    <row r="448" spans="1:16" x14ac:dyDescent="0.3">
      <c r="A448" s="58" t="s">
        <v>444</v>
      </c>
      <c r="B448" s="52" t="s">
        <v>203</v>
      </c>
      <c r="C448" s="83">
        <f>C372/1000</f>
        <v>0</v>
      </c>
      <c r="D448" s="83">
        <f t="shared" ref="D448:N448" si="56">D372/1000</f>
        <v>0</v>
      </c>
      <c r="E448" s="83">
        <f t="shared" si="56"/>
        <v>0</v>
      </c>
      <c r="F448" s="83">
        <f t="shared" si="56"/>
        <v>0</v>
      </c>
      <c r="G448" s="83">
        <f t="shared" si="56"/>
        <v>0</v>
      </c>
      <c r="H448" s="83">
        <f t="shared" si="56"/>
        <v>0</v>
      </c>
      <c r="I448" s="83">
        <f t="shared" si="56"/>
        <v>0</v>
      </c>
      <c r="J448" s="83">
        <f t="shared" si="56"/>
        <v>0</v>
      </c>
      <c r="K448" s="83">
        <f t="shared" si="56"/>
        <v>0</v>
      </c>
      <c r="L448" s="83">
        <f t="shared" si="56"/>
        <v>0</v>
      </c>
      <c r="M448" s="83">
        <f t="shared" si="56"/>
        <v>0</v>
      </c>
      <c r="N448" s="83">
        <f t="shared" si="56"/>
        <v>0</v>
      </c>
      <c r="O448" s="79"/>
      <c r="P448" s="79"/>
    </row>
    <row r="449" spans="1:16" x14ac:dyDescent="0.3">
      <c r="A449" s="58" t="s">
        <v>445</v>
      </c>
      <c r="B449" s="52" t="s">
        <v>203</v>
      </c>
      <c r="C449" s="241">
        <f>C391/1000</f>
        <v>3.6248714479648968E-2</v>
      </c>
      <c r="D449" s="83">
        <f t="shared" ref="D449:N449" si="57">D391/1000</f>
        <v>4.6813795738989201E-2</v>
      </c>
      <c r="E449" s="83">
        <f t="shared" si="57"/>
        <v>5.0025988372972452E-2</v>
      </c>
      <c r="F449" s="83">
        <f t="shared" si="57"/>
        <v>4.8514934152430342E-2</v>
      </c>
      <c r="G449" s="83">
        <f t="shared" si="57"/>
        <v>4.8309018835850405E-2</v>
      </c>
      <c r="H449" s="83">
        <f t="shared" si="57"/>
        <v>4.7544466189134778E-2</v>
      </c>
      <c r="I449" s="83">
        <f t="shared" si="57"/>
        <v>6.0002405622159992E-2</v>
      </c>
      <c r="J449" s="83">
        <f t="shared" si="57"/>
        <v>5.0183112062205014E-2</v>
      </c>
      <c r="K449" s="83">
        <f t="shared" si="57"/>
        <v>5.2654639848333802E-2</v>
      </c>
      <c r="L449" s="83">
        <f t="shared" si="57"/>
        <v>4.9321027985771634E-2</v>
      </c>
      <c r="M449" s="83">
        <f t="shared" si="57"/>
        <v>5.3907518868825832E-2</v>
      </c>
      <c r="N449" s="83">
        <f t="shared" si="57"/>
        <v>3.131269704786472E-2</v>
      </c>
      <c r="O449" s="79"/>
      <c r="P449" s="79"/>
    </row>
    <row r="450" spans="1:16" x14ac:dyDescent="0.3">
      <c r="A450" s="80" t="s">
        <v>446</v>
      </c>
      <c r="B450" s="52" t="s">
        <v>203</v>
      </c>
      <c r="C450" s="242">
        <f t="shared" ref="C450:N450" si="58">IF(C$599&gt;UPDATEYR,"",C443+C447+C448+C449)</f>
        <v>0.57792923794300322</v>
      </c>
      <c r="D450" s="85">
        <f t="shared" si="58"/>
        <v>0.58633646354033386</v>
      </c>
      <c r="E450" s="85">
        <f t="shared" si="58"/>
        <v>0.56398631542134248</v>
      </c>
      <c r="F450" s="85">
        <f t="shared" si="58"/>
        <v>0.63963881877215467</v>
      </c>
      <c r="G450" s="85">
        <f t="shared" si="58"/>
        <v>0.55582016468483819</v>
      </c>
      <c r="H450" s="85">
        <f t="shared" si="58"/>
        <v>0.53493636775439257</v>
      </c>
      <c r="I450" s="85">
        <f t="shared" si="58"/>
        <v>0.45772188293484917</v>
      </c>
      <c r="J450" s="85">
        <f t="shared" si="58"/>
        <v>0.46573719356304139</v>
      </c>
      <c r="K450" s="85">
        <f t="shared" si="58"/>
        <v>0.48783124848861165</v>
      </c>
      <c r="L450" s="85">
        <f t="shared" si="58"/>
        <v>0.46069630339136292</v>
      </c>
      <c r="M450" s="85">
        <f t="shared" si="58"/>
        <v>0.40837871405369247</v>
      </c>
      <c r="N450" s="242">
        <f t="shared" si="58"/>
        <v>0.37818859271997707</v>
      </c>
      <c r="O450" s="79"/>
      <c r="P450" s="79"/>
    </row>
    <row r="451" spans="1:16" x14ac:dyDescent="0.3">
      <c r="A451" s="80" t="s">
        <v>447</v>
      </c>
      <c r="B451" s="52" t="s">
        <v>203</v>
      </c>
      <c r="C451" s="243">
        <f>' Macroeconomy (ktoe)'!C73/1000</f>
        <v>0.57769657017292442</v>
      </c>
      <c r="D451" s="86">
        <f>' Macroeconomy (ktoe)'!D73/1000</f>
        <v>0.58608006114454947</v>
      </c>
      <c r="E451" s="86">
        <f>' Macroeconomy (ktoe)'!E73/1000</f>
        <v>0.56408235406515717</v>
      </c>
      <c r="F451" s="86">
        <f>' Macroeconomy (ktoe)'!F73/1000</f>
        <v>0.6396054265787714</v>
      </c>
      <c r="G451" s="86">
        <f>' Macroeconomy (ktoe)'!G73/1000</f>
        <v>0.55584217063150854</v>
      </c>
      <c r="H451" s="86">
        <f>' Macroeconomy (ktoe)'!H73/1000</f>
        <v>0.53501480844559091</v>
      </c>
      <c r="I451" s="86">
        <f>' Macroeconomy (ktoe)'!I73/1000</f>
        <v>0.45779593006592151</v>
      </c>
      <c r="J451" s="86">
        <f>' Macroeconomy (ktoe)'!J73/1000</f>
        <v>0.46577338301327986</v>
      </c>
      <c r="K451" s="86">
        <f>' Macroeconomy (ktoe)'!K73/1000</f>
        <v>0.48784274386166038</v>
      </c>
      <c r="L451" s="86">
        <f>' Macroeconomy (ktoe)'!L73/1000</f>
        <v>0.45927677462501193</v>
      </c>
      <c r="M451" s="86">
        <f>' Macroeconomy (ktoe)'!M73/1000</f>
        <v>0.40802044520875125</v>
      </c>
      <c r="N451" s="243">
        <f>' Macroeconomy (ktoe)'!N73/1000</f>
        <v>0.37816470813031428</v>
      </c>
      <c r="O451" s="79"/>
      <c r="P451" s="79"/>
    </row>
    <row r="452" spans="1:16" x14ac:dyDescent="0.3">
      <c r="A452" s="24" t="s">
        <v>448</v>
      </c>
      <c r="B452" s="25" t="s">
        <v>103</v>
      </c>
      <c r="C452" s="87">
        <f>IFERROR((C443+C447+C448+C449)/C451,"")</f>
        <v>1.0004027508247264</v>
      </c>
      <c r="D452" s="87">
        <f t="shared" ref="D452:N452" si="59">IFERROR((D443+D447+D448+D449)/D451,"")</f>
        <v>1.000437486979652</v>
      </c>
      <c r="E452" s="87">
        <f t="shared" si="59"/>
        <v>0.99982974357711674</v>
      </c>
      <c r="F452" s="87">
        <f t="shared" si="59"/>
        <v>1.0000522074891733</v>
      </c>
      <c r="G452" s="87">
        <f t="shared" si="59"/>
        <v>0.99996040972090094</v>
      </c>
      <c r="H452" s="87">
        <f t="shared" si="59"/>
        <v>0.99985338594379058</v>
      </c>
      <c r="I452" s="87">
        <f t="shared" si="59"/>
        <v>0.99983825297210116</v>
      </c>
      <c r="J452" s="87">
        <f t="shared" si="59"/>
        <v>0.99992230245102387</v>
      </c>
      <c r="K452" s="87">
        <f t="shared" si="59"/>
        <v>0.99997643631437927</v>
      </c>
      <c r="L452" s="87">
        <f t="shared" si="59"/>
        <v>1.0030907915330793</v>
      </c>
      <c r="M452" s="87">
        <f t="shared" si="59"/>
        <v>1.0008780659134813</v>
      </c>
      <c r="N452" s="87">
        <f t="shared" si="59"/>
        <v>1.0000631592244049</v>
      </c>
      <c r="O452" s="79"/>
      <c r="P452" s="79"/>
    </row>
    <row r="453" spans="1:16" x14ac:dyDescent="0.3">
      <c r="A453" s="49"/>
      <c r="B453" s="49"/>
      <c r="C453" s="240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spans="1:16" x14ac:dyDescent="0.3">
      <c r="A454" s="58" t="s">
        <v>449</v>
      </c>
      <c r="B454" s="63" t="s">
        <v>103</v>
      </c>
      <c r="C454" s="91">
        <f>C413/C414</f>
        <v>1.0928060662379143E-2</v>
      </c>
      <c r="D454" s="91">
        <f t="shared" ref="D454:N454" si="60">D413/D414</f>
        <v>1.5652856972323485E-2</v>
      </c>
      <c r="E454" s="91">
        <f t="shared" si="60"/>
        <v>2.7650884132274161E-2</v>
      </c>
      <c r="F454" s="91">
        <f t="shared" si="60"/>
        <v>2.7242785631903736E-2</v>
      </c>
      <c r="G454" s="91">
        <f t="shared" si="60"/>
        <v>2.867430501499902E-2</v>
      </c>
      <c r="H454" s="91">
        <f t="shared" si="60"/>
        <v>4.4212020184865072E-2</v>
      </c>
      <c r="I454" s="91">
        <f t="shared" si="60"/>
        <v>5.711879962155493E-2</v>
      </c>
      <c r="J454" s="91">
        <f t="shared" si="60"/>
        <v>0</v>
      </c>
      <c r="K454" s="91">
        <f t="shared" si="60"/>
        <v>0</v>
      </c>
      <c r="L454" s="91">
        <f t="shared" si="60"/>
        <v>1.3276259251853641E-3</v>
      </c>
      <c r="M454" s="91">
        <f t="shared" si="60"/>
        <v>0</v>
      </c>
      <c r="N454" s="91">
        <f t="shared" si="60"/>
        <v>0</v>
      </c>
      <c r="O454" s="49"/>
      <c r="P454" s="49"/>
    </row>
    <row r="455" spans="1:16" x14ac:dyDescent="0.3">
      <c r="A455" s="58" t="s">
        <v>450</v>
      </c>
      <c r="B455" s="63" t="s">
        <v>103</v>
      </c>
      <c r="C455" s="92">
        <f>IFERROR(C202/C203,"")</f>
        <v>0.10036574728733916</v>
      </c>
      <c r="D455" s="92">
        <f t="shared" ref="D455:N455" si="61">IFERROR(D202/D203,"")</f>
        <v>8.9154332523062957E-2</v>
      </c>
      <c r="E455" s="92">
        <f t="shared" si="61"/>
        <v>7.9425732719299494E-2</v>
      </c>
      <c r="F455" s="92">
        <f t="shared" si="61"/>
        <v>6.6944091716259702E-2</v>
      </c>
      <c r="G455" s="92">
        <f t="shared" si="61"/>
        <v>0.10225542369375476</v>
      </c>
      <c r="H455" s="92">
        <f t="shared" si="61"/>
        <v>0.11290041539189388</v>
      </c>
      <c r="I455" s="92">
        <f t="shared" si="61"/>
        <v>4.4922453893033017E-2</v>
      </c>
      <c r="J455" s="92">
        <f t="shared" si="61"/>
        <v>9.9001442358906552E-2</v>
      </c>
      <c r="K455" s="92">
        <f t="shared" si="61"/>
        <v>0.10670517979202417</v>
      </c>
      <c r="L455" s="92">
        <f t="shared" si="61"/>
        <v>6.5409772989611384E-2</v>
      </c>
      <c r="M455" s="92">
        <f t="shared" si="61"/>
        <v>6.7854435178165279E-2</v>
      </c>
      <c r="N455" s="92">
        <f t="shared" si="61"/>
        <v>1.3071895424836602E-2</v>
      </c>
      <c r="O455" s="49"/>
      <c r="P455" s="49"/>
    </row>
    <row r="456" spans="1:16" x14ac:dyDescent="0.3">
      <c r="A456" s="58" t="s">
        <v>451</v>
      </c>
      <c r="B456" s="63" t="s">
        <v>103</v>
      </c>
      <c r="C456" s="92">
        <f>IFERROR(' Macroeconomy (ktoe)'!C72/' Macroeconomy (ktoe)'!C73,"")</f>
        <v>0.18067556952081695</v>
      </c>
      <c r="D456" s="92">
        <f>IFERROR(' Macroeconomy (ktoe)'!D72/' Macroeconomy (ktoe)'!D73,"")</f>
        <v>0.18673078490504524</v>
      </c>
      <c r="E456" s="92">
        <f>IFERROR(' Macroeconomy (ktoe)'!E72/' Macroeconomy (ktoe)'!E73,"")</f>
        <v>0.13549561756361941</v>
      </c>
      <c r="F456" s="92">
        <f>IFERROR(' Macroeconomy (ktoe)'!F72/' Macroeconomy (ktoe)'!F73,"")</f>
        <v>0.13178236677993949</v>
      </c>
      <c r="G456" s="92">
        <f>IFERROR(' Macroeconomy (ktoe)'!G72/' Macroeconomy (ktoe)'!G73,"")</f>
        <v>0.16049329666552078</v>
      </c>
      <c r="H456" s="92">
        <f>IFERROR(' Macroeconomy (ktoe)'!H72/' Macroeconomy (ktoe)'!H73,"")</f>
        <v>0.20401785714285714</v>
      </c>
      <c r="I456" s="92">
        <f>IFERROR(' Macroeconomy (ktoe)'!I72/' Macroeconomy (ktoe)'!I73,"")</f>
        <v>2.5877810820681378E-2</v>
      </c>
      <c r="J456" s="92">
        <f>IFERROR(' Macroeconomy (ktoe)'!J72/' Macroeconomy (ktoe)'!J73,"")</f>
        <v>5.1894774626942197E-2</v>
      </c>
      <c r="K456" s="92">
        <f>IFERROR(' Macroeconomy (ktoe)'!K72/' Macroeconomy (ktoe)'!K73,"")</f>
        <v>6.8690330477356176E-2</v>
      </c>
      <c r="L456" s="92">
        <f>IFERROR(' Macroeconomy (ktoe)'!L72/' Macroeconomy (ktoe)'!L73,"")</f>
        <v>3.1826928077383125E-2</v>
      </c>
      <c r="M456" s="92">
        <f>IFERROR(' Macroeconomy (ktoe)'!M72/' Macroeconomy (ktoe)'!M73,"")</f>
        <v>4.5835040683720664E-2</v>
      </c>
      <c r="N456" s="92">
        <f>IFERROR(' Macroeconomy (ktoe)'!N72/' Macroeconomy (ktoe)'!N73,"")</f>
        <v>2.9747994694625152E-2</v>
      </c>
      <c r="O456" s="49"/>
      <c r="P456" s="49"/>
    </row>
    <row r="457" spans="1:16" x14ac:dyDescent="0.3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spans="1:16" x14ac:dyDescent="0.3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spans="1:16" ht="15.6" x14ac:dyDescent="0.3">
      <c r="A459" s="8" t="s">
        <v>197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spans="1:16" x14ac:dyDescent="0.3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spans="1:16" x14ac:dyDescent="0.3">
      <c r="A461" s="49" t="s">
        <v>452</v>
      </c>
      <c r="B461" s="52" t="s">
        <v>66</v>
      </c>
      <c r="C461" s="71">
        <f>IFERROR(C36/' Macroeconomy (ktoe)'!$C$15,0)</f>
        <v>351</v>
      </c>
      <c r="D461" s="71">
        <f>IFERROR(D36/' Macroeconomy (ktoe)'!$C$15,0)</f>
        <v>351.8</v>
      </c>
      <c r="E461" s="71">
        <f>IFERROR(E36/' Macroeconomy (ktoe)'!$C$15,0)</f>
        <v>344.4</v>
      </c>
      <c r="F461" s="71">
        <f>IFERROR(F36/' Macroeconomy (ktoe)'!$C$15,0)</f>
        <v>361.1</v>
      </c>
      <c r="G461" s="71">
        <f>IFERROR(G36/' Macroeconomy (ktoe)'!$C$15,0)</f>
        <v>388.6</v>
      </c>
      <c r="H461" s="71">
        <f>IFERROR(H36/' Macroeconomy (ktoe)'!$C$15,0)</f>
        <v>380.2</v>
      </c>
      <c r="I461" s="71">
        <f>IFERROR(I36/' Macroeconomy (ktoe)'!$C$15,0)</f>
        <v>383.9</v>
      </c>
      <c r="J461" s="71">
        <f>IFERROR(J36/' Macroeconomy (ktoe)'!$C$15,0)</f>
        <v>401.1</v>
      </c>
      <c r="K461" s="71">
        <f>IFERROR(K36/' Macroeconomy (ktoe)'!$C$15,0)</f>
        <v>410.2</v>
      </c>
      <c r="L461" s="71">
        <f>IFERROR(L36/' Macroeconomy (ktoe)'!$C$15,0)</f>
        <v>411.2</v>
      </c>
      <c r="M461" s="71">
        <f>IFERROR(M36/' Macroeconomy (ktoe)'!$C$15,0)</f>
        <v>390.8</v>
      </c>
      <c r="N461" s="71">
        <f>IFERROR(N36/' Macroeconomy (ktoe)'!$C$15,0)</f>
        <v>455</v>
      </c>
      <c r="O461" s="79"/>
      <c r="P461" s="79"/>
    </row>
    <row r="462" spans="1:16" x14ac:dyDescent="0.3">
      <c r="A462" s="49" t="s">
        <v>453</v>
      </c>
      <c r="B462" s="52" t="s">
        <v>66</v>
      </c>
      <c r="C462" s="71">
        <f>IFERROR(C37/' Macroeconomy (ktoe)'!$C$15,0)</f>
        <v>154</v>
      </c>
      <c r="D462" s="71">
        <f>IFERROR(D37/' Macroeconomy (ktoe)'!$C$15,0)</f>
        <v>162.69999999999999</v>
      </c>
      <c r="E462" s="71">
        <f>IFERROR(E37/' Macroeconomy (ktoe)'!$C$15,0)</f>
        <v>169.8</v>
      </c>
      <c r="F462" s="71">
        <f>IFERROR(F37/' Macroeconomy (ktoe)'!$C$15,0)</f>
        <v>161.9</v>
      </c>
      <c r="G462" s="71">
        <f>IFERROR(G37/' Macroeconomy (ktoe)'!$C$15,0)</f>
        <v>167</v>
      </c>
      <c r="H462" s="71">
        <f>IFERROR(H37/' Macroeconomy (ktoe)'!$C$15,0)</f>
        <v>172.8</v>
      </c>
      <c r="I462" s="71">
        <f>IFERROR(I37/' Macroeconomy (ktoe)'!$C$15,0)</f>
        <v>180.7</v>
      </c>
      <c r="J462" s="71">
        <f>IFERROR(J37/' Macroeconomy (ktoe)'!$C$15,0)</f>
        <v>190</v>
      </c>
      <c r="K462" s="71">
        <f>IFERROR(K37/' Macroeconomy (ktoe)'!$C$15,0)</f>
        <v>174.9</v>
      </c>
      <c r="L462" s="71">
        <f>IFERROR(L37/' Macroeconomy (ktoe)'!$C$15,0)</f>
        <v>164.5</v>
      </c>
      <c r="M462" s="71">
        <f>IFERROR(M37/' Macroeconomy (ktoe)'!$C$15,0)</f>
        <v>142.80000000000001</v>
      </c>
      <c r="N462" s="71">
        <f>IFERROR(N37/' Macroeconomy (ktoe)'!$C$15,0)</f>
        <v>148.30000000000001</v>
      </c>
      <c r="O462" s="79"/>
      <c r="P462" s="79"/>
    </row>
    <row r="463" spans="1:16" x14ac:dyDescent="0.3">
      <c r="A463" s="49" t="s">
        <v>454</v>
      </c>
      <c r="B463" s="52" t="s">
        <v>66</v>
      </c>
      <c r="C463" s="71">
        <f>IFERROR(C38/' Macroeconomy (ktoe)'!$C$15,0)</f>
        <v>318.10000000000002</v>
      </c>
      <c r="D463" s="71">
        <f>IFERROR(D38/' Macroeconomy (ktoe)'!$C$15,0)</f>
        <v>368.6</v>
      </c>
      <c r="E463" s="71">
        <f>IFERROR(E38/' Macroeconomy (ktoe)'!$C$15,0)</f>
        <v>370.8</v>
      </c>
      <c r="F463" s="71">
        <f>IFERROR(F38/' Macroeconomy (ktoe)'!$C$15,0)</f>
        <v>382.8</v>
      </c>
      <c r="G463" s="71">
        <f>IFERROR(G38/' Macroeconomy (ktoe)'!$C$15,0)</f>
        <v>438.6</v>
      </c>
      <c r="H463" s="71">
        <f>IFERROR(H38/' Macroeconomy (ktoe)'!$C$15,0)</f>
        <v>481.2</v>
      </c>
      <c r="I463" s="71">
        <f>IFERROR(I38/' Macroeconomy (ktoe)'!$C$15,0)</f>
        <v>495.6</v>
      </c>
      <c r="J463" s="71">
        <f>IFERROR(J38/' Macroeconomy (ktoe)'!$C$15,0)</f>
        <v>527.4</v>
      </c>
      <c r="K463" s="71">
        <f>IFERROR(K38/' Macroeconomy (ktoe)'!$C$15,0)</f>
        <v>552.29999999999995</v>
      </c>
      <c r="L463" s="71">
        <f>IFERROR(L38/' Macroeconomy (ktoe)'!$C$15,0)</f>
        <v>566.9</v>
      </c>
      <c r="M463" s="71">
        <f>IFERROR(M38/' Macroeconomy (ktoe)'!$C$15,0)</f>
        <v>513.1</v>
      </c>
      <c r="N463" s="71">
        <f>IFERROR(N38/' Macroeconomy (ktoe)'!$C$15,0)</f>
        <v>521.6</v>
      </c>
      <c r="O463" s="79"/>
      <c r="P463" s="79"/>
    </row>
    <row r="464" spans="1:16" x14ac:dyDescent="0.3">
      <c r="A464" s="49" t="s">
        <v>455</v>
      </c>
      <c r="B464" s="52" t="s">
        <v>66</v>
      </c>
      <c r="C464" s="71">
        <f>IFERROR(C39/' Macroeconomy (ktoe)'!$C$15,0)</f>
        <v>123.9</v>
      </c>
      <c r="D464" s="71">
        <f>IFERROR(D39/' Macroeconomy (ktoe)'!$C$15,0)</f>
        <v>122</v>
      </c>
      <c r="E464" s="71">
        <f>IFERROR(E39/' Macroeconomy (ktoe)'!$C$15,0)</f>
        <v>135.6</v>
      </c>
      <c r="F464" s="71">
        <f>IFERROR(F39/' Macroeconomy (ktoe)'!$C$15,0)</f>
        <v>135.4</v>
      </c>
      <c r="G464" s="71">
        <f>IFERROR(G39/' Macroeconomy (ktoe)'!$C$15,0)</f>
        <v>136.19999999999999</v>
      </c>
      <c r="H464" s="71">
        <f>IFERROR(H39/' Macroeconomy (ktoe)'!$C$15,0)</f>
        <v>133.69999999999999</v>
      </c>
      <c r="I464" s="71">
        <f>IFERROR(I39/' Macroeconomy (ktoe)'!$C$15,0)</f>
        <v>142.30000000000001</v>
      </c>
      <c r="J464" s="71">
        <f>IFERROR(J39/' Macroeconomy (ktoe)'!$C$15,0)</f>
        <v>148</v>
      </c>
      <c r="K464" s="71">
        <f>IFERROR(K39/' Macroeconomy (ktoe)'!$C$15,0)</f>
        <v>142.6</v>
      </c>
      <c r="L464" s="71">
        <f>IFERROR(L39/' Macroeconomy (ktoe)'!$C$15,0)</f>
        <v>138.6</v>
      </c>
      <c r="M464" s="71">
        <f>IFERROR(M39/' Macroeconomy (ktoe)'!$C$15,0)</f>
        <v>138</v>
      </c>
      <c r="N464" s="71">
        <f>IFERROR(N39/' Macroeconomy (ktoe)'!$C$15,0)</f>
        <v>144.80000000000001</v>
      </c>
      <c r="O464" s="79"/>
      <c r="P464" s="79"/>
    </row>
    <row r="465" spans="1:16" x14ac:dyDescent="0.3">
      <c r="A465" s="64" t="s">
        <v>456</v>
      </c>
      <c r="B465" s="52" t="s">
        <v>66</v>
      </c>
      <c r="C465" s="71">
        <f>IFERROR(C40/' Macroeconomy (ktoe)'!$C$15,0)</f>
        <v>60.2</v>
      </c>
      <c r="D465" s="71">
        <f>IFERROR(D40/' Macroeconomy (ktoe)'!$C$15,0)</f>
        <v>54.8</v>
      </c>
      <c r="E465" s="71">
        <f>IFERROR(E40/' Macroeconomy (ktoe)'!$C$15,0)</f>
        <v>56</v>
      </c>
      <c r="F465" s="71">
        <f>IFERROR(F40/' Macroeconomy (ktoe)'!$C$15,0)</f>
        <v>58.2</v>
      </c>
      <c r="G465" s="71">
        <f>IFERROR(G40/' Macroeconomy (ktoe)'!$C$15,0)</f>
        <v>60.1</v>
      </c>
      <c r="H465" s="71">
        <f>IFERROR(H40/' Macroeconomy (ktoe)'!$C$15,0)</f>
        <v>56.5</v>
      </c>
      <c r="I465" s="71">
        <f>IFERROR(I40/' Macroeconomy (ktoe)'!$C$15,0)</f>
        <v>58.2</v>
      </c>
      <c r="J465" s="71">
        <f>IFERROR(J40/' Macroeconomy (ktoe)'!$C$15,0)</f>
        <v>60.7</v>
      </c>
      <c r="K465" s="71">
        <f>IFERROR(K40/' Macroeconomy (ktoe)'!$C$15,0)</f>
        <v>55.5</v>
      </c>
      <c r="L465" s="71">
        <f>IFERROR(L40/' Macroeconomy (ktoe)'!$C$15,0)</f>
        <v>50.8</v>
      </c>
      <c r="M465" s="71">
        <f>IFERROR(M40/' Macroeconomy (ktoe)'!$C$15,0)</f>
        <v>57.2</v>
      </c>
      <c r="N465" s="71">
        <f>IFERROR(N40/' Macroeconomy (ktoe)'!$C$15,0)</f>
        <v>56.4</v>
      </c>
      <c r="O465" s="79"/>
      <c r="P465" s="79"/>
    </row>
    <row r="466" spans="1:16" x14ac:dyDescent="0.3">
      <c r="A466" s="49" t="s">
        <v>457</v>
      </c>
      <c r="B466" s="52" t="s">
        <v>66</v>
      </c>
      <c r="C466" s="71">
        <f>IFERROR(C41/' Macroeconomy (ktoe)'!$C$15,0)</f>
        <v>62.1</v>
      </c>
      <c r="D466" s="71">
        <f>IFERROR(D41/' Macroeconomy (ktoe)'!$C$15,0)</f>
        <v>67.099999999999994</v>
      </c>
      <c r="E466" s="71">
        <f>IFERROR(E41/' Macroeconomy (ktoe)'!$C$15,0)</f>
        <v>72.099999999999994</v>
      </c>
      <c r="F466" s="71">
        <f>IFERROR(F41/' Macroeconomy (ktoe)'!$C$15,0)</f>
        <v>76.400000000000006</v>
      </c>
      <c r="G466" s="71">
        <f>IFERROR(G41/' Macroeconomy (ktoe)'!$C$15,0)</f>
        <v>84.3</v>
      </c>
      <c r="H466" s="71">
        <f>IFERROR(H41/' Macroeconomy (ktoe)'!$C$15,0)</f>
        <v>90.7</v>
      </c>
      <c r="I466" s="71">
        <f>IFERROR(I41/' Macroeconomy (ktoe)'!$C$15,0)</f>
        <v>78.8</v>
      </c>
      <c r="J466" s="71">
        <f>IFERROR(J41/' Macroeconomy (ktoe)'!$C$15,0)</f>
        <v>34.799999999999997</v>
      </c>
      <c r="K466" s="71">
        <f>IFERROR(K41/' Macroeconomy (ktoe)'!$C$15,0)</f>
        <v>33.1</v>
      </c>
      <c r="L466" s="71">
        <f>IFERROR(L41/' Macroeconomy (ktoe)'!$C$15,0)</f>
        <v>43.6</v>
      </c>
      <c r="M466" s="71">
        <f>IFERROR(M41/' Macroeconomy (ktoe)'!$C$15,0)</f>
        <v>44.5</v>
      </c>
      <c r="N466" s="71">
        <f>IFERROR(N41/' Macroeconomy (ktoe)'!$C$15,0)</f>
        <v>34.799999999999997</v>
      </c>
      <c r="O466" s="79"/>
      <c r="P466" s="79"/>
    </row>
    <row r="467" spans="1:16" x14ac:dyDescent="0.3">
      <c r="A467" s="49" t="s">
        <v>458</v>
      </c>
      <c r="B467" s="52" t="s">
        <v>66</v>
      </c>
      <c r="C467" s="71">
        <f>IFERROR(C42/' Macroeconomy (ktoe)'!$C$15,0)</f>
        <v>140.80000000000001</v>
      </c>
      <c r="D467" s="71">
        <f>IFERROR(D42/' Macroeconomy (ktoe)'!$C$15,0)</f>
        <v>142.80000000000001</v>
      </c>
      <c r="E467" s="71">
        <f>IFERROR(E42/' Macroeconomy (ktoe)'!$C$15,0)</f>
        <v>108.19999999999999</v>
      </c>
      <c r="F467" s="71">
        <f>IFERROR(F42/' Macroeconomy (ktoe)'!$C$15,0)</f>
        <v>118.2</v>
      </c>
      <c r="G467" s="71">
        <f>IFERROR(G42/' Macroeconomy (ktoe)'!$C$15,0)</f>
        <v>115.6</v>
      </c>
      <c r="H467" s="71">
        <f>IFERROR(H42/' Macroeconomy (ktoe)'!$C$15,0)</f>
        <v>117.1</v>
      </c>
      <c r="I467" s="71">
        <f>IFERROR(I42/' Macroeconomy (ktoe)'!$C$15,0)</f>
        <v>124.3</v>
      </c>
      <c r="J467" s="71">
        <f>IFERROR(J42/' Macroeconomy (ktoe)'!$C$15,0)</f>
        <v>121.80000000000001</v>
      </c>
      <c r="K467" s="71">
        <f>IFERROR(K42/' Macroeconomy (ktoe)'!$C$15,0)</f>
        <v>136</v>
      </c>
      <c r="L467" s="71">
        <f>IFERROR(L42/' Macroeconomy (ktoe)'!$C$15,0)</f>
        <v>113.3</v>
      </c>
      <c r="M467" s="71">
        <f>IFERROR(M42/' Macroeconomy (ktoe)'!$C$15,0)</f>
        <v>115.39999999999999</v>
      </c>
      <c r="N467" s="71">
        <f>IFERROR(N42/' Macroeconomy (ktoe)'!$C$15,0)</f>
        <v>127.7</v>
      </c>
      <c r="O467" s="79"/>
      <c r="P467" s="79"/>
    </row>
    <row r="468" spans="1:16" x14ac:dyDescent="0.3">
      <c r="A468" s="49" t="s">
        <v>459</v>
      </c>
      <c r="B468" s="52" t="s">
        <v>66</v>
      </c>
      <c r="C468" s="71">
        <f>IFERROR(C43/' Macroeconomy (ktoe)'!$C$15,0)</f>
        <v>110.4</v>
      </c>
      <c r="D468" s="71">
        <f>IFERROR(D43/' Macroeconomy (ktoe)'!$C$15,0)</f>
        <v>124.4</v>
      </c>
      <c r="E468" s="71">
        <f>IFERROR(E43/' Macroeconomy (ktoe)'!$C$15,0)</f>
        <v>127.5</v>
      </c>
      <c r="F468" s="71">
        <f>IFERROR(F43/' Macroeconomy (ktoe)'!$C$15,0)</f>
        <v>127.9</v>
      </c>
      <c r="G468" s="71">
        <f>IFERROR(G43/' Macroeconomy (ktoe)'!$C$15,0)</f>
        <v>135.5</v>
      </c>
      <c r="H468" s="71">
        <f>IFERROR(H43/' Macroeconomy (ktoe)'!$C$15,0)</f>
        <v>141</v>
      </c>
      <c r="I468" s="71">
        <f>IFERROR(I43/' Macroeconomy (ktoe)'!$C$15,0)</f>
        <v>160.19999999999999</v>
      </c>
      <c r="J468" s="71">
        <f>IFERROR(J43/' Macroeconomy (ktoe)'!$C$15,0)</f>
        <v>185.4</v>
      </c>
      <c r="K468" s="71">
        <f>IFERROR(K43/' Macroeconomy (ktoe)'!$C$15,0)</f>
        <v>179.6</v>
      </c>
      <c r="L468" s="71">
        <f>IFERROR(L43/' Macroeconomy (ktoe)'!$C$15,0)</f>
        <v>170.3</v>
      </c>
      <c r="M468" s="71">
        <f>IFERROR(M43/' Macroeconomy (ktoe)'!$C$15,0)</f>
        <v>156</v>
      </c>
      <c r="N468" s="71">
        <f>IFERROR(N43/' Macroeconomy (ktoe)'!$C$15,0)</f>
        <v>173</v>
      </c>
      <c r="O468" s="79"/>
      <c r="P468" s="79"/>
    </row>
    <row r="469" spans="1:16" x14ac:dyDescent="0.3">
      <c r="A469" s="49" t="s">
        <v>460</v>
      </c>
      <c r="B469" s="52" t="s">
        <v>66</v>
      </c>
      <c r="C469" s="71">
        <f>IFERROR(C44/' Macroeconomy (ktoe)'!$C$15,0)</f>
        <v>11.2</v>
      </c>
      <c r="D469" s="71">
        <f>IFERROR(D44/' Macroeconomy (ktoe)'!$C$15,0)</f>
        <v>10.199999999999999</v>
      </c>
      <c r="E469" s="71">
        <f>IFERROR(E44/' Macroeconomy (ktoe)'!$C$15,0)</f>
        <v>8.1999999999999993</v>
      </c>
      <c r="F469" s="71">
        <f>IFERROR(F44/' Macroeconomy (ktoe)'!$C$15,0)</f>
        <v>10.3</v>
      </c>
      <c r="G469" s="71">
        <f>IFERROR(G44/' Macroeconomy (ktoe)'!$C$15,0)</f>
        <v>13.3</v>
      </c>
      <c r="H469" s="71">
        <f>IFERROR(H44/' Macroeconomy (ktoe)'!$C$15,0)</f>
        <v>12</v>
      </c>
      <c r="I469" s="71">
        <f>IFERROR(I44/' Macroeconomy (ktoe)'!$C$15,0)</f>
        <v>14.5</v>
      </c>
      <c r="J469" s="71">
        <f>IFERROR(J44/' Macroeconomy (ktoe)'!$C$15,0)</f>
        <v>24</v>
      </c>
      <c r="K469" s="71">
        <f>IFERROR(K44/' Macroeconomy (ktoe)'!$C$15,0)</f>
        <v>25.4</v>
      </c>
      <c r="L469" s="71">
        <f>IFERROR(L44/' Macroeconomy (ktoe)'!$C$15,0)</f>
        <v>31</v>
      </c>
      <c r="M469" s="71">
        <f>IFERROR(M44/' Macroeconomy (ktoe)'!$C$15,0)</f>
        <v>36.700000000000003</v>
      </c>
      <c r="N469" s="71">
        <f>IFERROR(N44/' Macroeconomy (ktoe)'!$C$15,0)</f>
        <v>43.5</v>
      </c>
      <c r="O469" s="79"/>
      <c r="P469" s="79"/>
    </row>
    <row r="470" spans="1:16" x14ac:dyDescent="0.3">
      <c r="A470" s="49" t="s">
        <v>461</v>
      </c>
      <c r="B470" s="52" t="s">
        <v>66</v>
      </c>
      <c r="C470" s="71">
        <f>IFERROR(C45/' Macroeconomy (ktoe)'!$C$15,0)</f>
        <v>540.69999999999993</v>
      </c>
      <c r="D470" s="71">
        <f>IFERROR(D45/' Macroeconomy (ktoe)'!$C$15,0)</f>
        <v>699.30000000000007</v>
      </c>
      <c r="E470" s="71">
        <f>IFERROR(E45/' Macroeconomy (ktoe)'!$C$15,0)</f>
        <v>719.4</v>
      </c>
      <c r="F470" s="71">
        <f>IFERROR(F45/' Macroeconomy (ktoe)'!$C$15,0)</f>
        <v>747.1</v>
      </c>
      <c r="G470" s="71">
        <f>IFERROR(G45/' Macroeconomy (ktoe)'!$C$15,0)</f>
        <v>773.99999999999989</v>
      </c>
      <c r="H470" s="71">
        <f>IFERROR(H45/' Macroeconomy (ktoe)'!$C$15,0)</f>
        <v>778</v>
      </c>
      <c r="I470" s="71">
        <f>IFERROR(I45/' Macroeconomy (ktoe)'!$C$15,0)</f>
        <v>823.1</v>
      </c>
      <c r="J470" s="71">
        <f>IFERROR(J45/' Macroeconomy (ktoe)'!$C$15,0)</f>
        <v>865</v>
      </c>
      <c r="K470" s="71">
        <f>IFERROR(K45/' Macroeconomy (ktoe)'!$C$15,0)</f>
        <v>917.3</v>
      </c>
      <c r="L470" s="71">
        <f>IFERROR(L45/' Macroeconomy (ktoe)'!$C$15,0)</f>
        <v>939.19999999999993</v>
      </c>
      <c r="M470" s="71">
        <f>IFERROR(M45/' Macroeconomy (ktoe)'!$C$15,0)</f>
        <v>894.5</v>
      </c>
      <c r="N470" s="71">
        <f>IFERROR(N45/' Macroeconomy (ktoe)'!$C$15,0)</f>
        <v>982.59999999999991</v>
      </c>
      <c r="O470" s="79"/>
      <c r="P470" s="79"/>
    </row>
    <row r="471" spans="1:16" x14ac:dyDescent="0.3">
      <c r="A471" s="64" t="s">
        <v>462</v>
      </c>
      <c r="B471" s="52" t="s">
        <v>66</v>
      </c>
      <c r="C471" s="71">
        <f>IFERROR(C46/' Macroeconomy (ktoe)'!$C$15,0)</f>
        <v>262</v>
      </c>
      <c r="D471" s="71">
        <f>IFERROR(D46/' Macroeconomy (ktoe)'!$C$15,0)</f>
        <v>292.10000000000002</v>
      </c>
      <c r="E471" s="71">
        <f>IFERROR(E46/' Macroeconomy (ktoe)'!$C$15,0)</f>
        <v>307.89999999999998</v>
      </c>
      <c r="F471" s="71">
        <f>IFERROR(F46/' Macroeconomy (ktoe)'!$C$15,0)</f>
        <v>321</v>
      </c>
      <c r="G471" s="71">
        <f>IFERROR(G46/' Macroeconomy (ktoe)'!$C$15,0)</f>
        <v>330.2</v>
      </c>
      <c r="H471" s="71">
        <f>IFERROR(H46/' Macroeconomy (ktoe)'!$C$15,0)</f>
        <v>334.5</v>
      </c>
      <c r="I471" s="71">
        <f>IFERROR(I46/' Macroeconomy (ktoe)'!$C$15,0)</f>
        <v>350.5</v>
      </c>
      <c r="J471" s="71">
        <f>IFERROR(J46/' Macroeconomy (ktoe)'!$C$15,0)</f>
        <v>397.2</v>
      </c>
      <c r="K471" s="71">
        <f>IFERROR(K46/' Macroeconomy (ktoe)'!$C$15,0)</f>
        <v>426.5</v>
      </c>
      <c r="L471" s="71">
        <f>IFERROR(L46/' Macroeconomy (ktoe)'!$C$15,0)</f>
        <v>468.5</v>
      </c>
      <c r="M471" s="71">
        <f>IFERROR(M46/' Macroeconomy (ktoe)'!$C$15,0)</f>
        <v>422.6</v>
      </c>
      <c r="N471" s="71">
        <f>IFERROR(N46/' Macroeconomy (ktoe)'!$C$15,0)</f>
        <v>484.4</v>
      </c>
      <c r="O471" s="79"/>
      <c r="P471" s="79"/>
    </row>
    <row r="472" spans="1:16" x14ac:dyDescent="0.3">
      <c r="A472" s="49" t="s">
        <v>463</v>
      </c>
      <c r="B472" s="52" t="s">
        <v>66</v>
      </c>
      <c r="C472" s="71">
        <f>IFERROR(C47/' Macroeconomy (ktoe)'!$C$15,0)</f>
        <v>89.699999999999989</v>
      </c>
      <c r="D472" s="71">
        <f>IFERROR(D47/' Macroeconomy (ktoe)'!$C$15,0)</f>
        <v>102.5</v>
      </c>
      <c r="E472" s="71">
        <f>IFERROR(E47/' Macroeconomy (ktoe)'!$C$15,0)</f>
        <v>108.5</v>
      </c>
      <c r="F472" s="71">
        <f>IFERROR(F47/' Macroeconomy (ktoe)'!$C$15,0)</f>
        <v>112.19999999999999</v>
      </c>
      <c r="G472" s="71">
        <f>IFERROR(G47/' Macroeconomy (ktoe)'!$C$15,0)</f>
        <v>110.4</v>
      </c>
      <c r="H472" s="71">
        <f>IFERROR(H47/' Macroeconomy (ktoe)'!$C$15,0)</f>
        <v>122.2</v>
      </c>
      <c r="I472" s="71">
        <f>IFERROR(I47/' Macroeconomy (ktoe)'!$C$15,0)</f>
        <v>124.80000000000001</v>
      </c>
      <c r="J472" s="71">
        <f>IFERROR(J47/' Macroeconomy (ktoe)'!$C$15,0)</f>
        <v>124</v>
      </c>
      <c r="K472" s="71">
        <f>IFERROR(K47/' Macroeconomy (ktoe)'!$C$15,0)</f>
        <v>137.69999999999999</v>
      </c>
      <c r="L472" s="71">
        <f>IFERROR(L47/' Macroeconomy (ktoe)'!$C$15,0)</f>
        <v>124.2</v>
      </c>
      <c r="M472" s="71">
        <f>IFERROR(M47/' Macroeconomy (ktoe)'!$C$15,0)</f>
        <v>123.80000000000001</v>
      </c>
      <c r="N472" s="71">
        <f>IFERROR(N47/' Macroeconomy (ktoe)'!$C$15,0)</f>
        <v>120.9</v>
      </c>
      <c r="O472" s="79"/>
      <c r="P472" s="79"/>
    </row>
    <row r="473" spans="1:16" x14ac:dyDescent="0.3">
      <c r="A473" s="49" t="s">
        <v>464</v>
      </c>
      <c r="B473" s="52" t="s">
        <v>66</v>
      </c>
      <c r="C473" s="71">
        <f>IFERROR(C48/' Macroeconomy (ktoe)'!$C$15,0)</f>
        <v>351.90000000000003</v>
      </c>
      <c r="D473" s="71">
        <f>IFERROR(D48/' Macroeconomy (ktoe)'!$C$15,0)</f>
        <v>401.5</v>
      </c>
      <c r="E473" s="71">
        <f>IFERROR(E48/' Macroeconomy (ktoe)'!$C$15,0)</f>
        <v>422.4</v>
      </c>
      <c r="F473" s="71">
        <f>IFERROR(F48/' Macroeconomy (ktoe)'!$C$15,0)</f>
        <v>430.8</v>
      </c>
      <c r="G473" s="71">
        <f>IFERROR(G48/' Macroeconomy (ktoe)'!$C$15,0)</f>
        <v>444</v>
      </c>
      <c r="H473" s="71">
        <f>IFERROR(H48/' Macroeconomy (ktoe)'!$C$15,0)</f>
        <v>440.1</v>
      </c>
      <c r="I473" s="71">
        <f>IFERROR(I48/' Macroeconomy (ktoe)'!$C$15,0)</f>
        <v>463.1</v>
      </c>
      <c r="J473" s="71">
        <f>IFERROR(J48/' Macroeconomy (ktoe)'!$C$15,0)</f>
        <v>488.1</v>
      </c>
      <c r="K473" s="71">
        <f>IFERROR(K48/' Macroeconomy (ktoe)'!$C$15,0)</f>
        <v>553.6</v>
      </c>
      <c r="L473" s="71">
        <f>IFERROR(L48/' Macroeconomy (ktoe)'!$C$15,0)</f>
        <v>606.70000000000005</v>
      </c>
      <c r="M473" s="71">
        <f>IFERROR(M48/' Macroeconomy (ktoe)'!$C$15,0)</f>
        <v>514.69999999999993</v>
      </c>
      <c r="N473" s="71">
        <f>IFERROR(N48/' Macroeconomy (ktoe)'!$C$15,0)</f>
        <v>566.70000000000005</v>
      </c>
      <c r="O473" s="79"/>
      <c r="P473" s="79"/>
    </row>
    <row r="474" spans="1:16" x14ac:dyDescent="0.3">
      <c r="A474" s="64" t="s">
        <v>465</v>
      </c>
      <c r="B474" s="52" t="s">
        <v>66</v>
      </c>
      <c r="C474" s="71">
        <f>IFERROR(C49/' Macroeconomy (ktoe)'!$C$15,0)</f>
        <v>94.8</v>
      </c>
      <c r="D474" s="71">
        <f>IFERROR(D49/' Macroeconomy (ktoe)'!$C$15,0)</f>
        <v>110.4</v>
      </c>
      <c r="E474" s="71">
        <f>IFERROR(E49/' Macroeconomy (ktoe)'!$C$15,0)</f>
        <v>111.2</v>
      </c>
      <c r="F474" s="71">
        <f>IFERROR(F49/' Macroeconomy (ktoe)'!$C$15,0)</f>
        <v>106.5</v>
      </c>
      <c r="G474" s="71">
        <f>IFERROR(G49/' Macroeconomy (ktoe)'!$C$15,0)</f>
        <v>113.7</v>
      </c>
      <c r="H474" s="71">
        <f>IFERROR(H49/' Macroeconomy (ktoe)'!$C$15,0)</f>
        <v>98.9</v>
      </c>
      <c r="I474" s="71">
        <f>IFERROR(I49/' Macroeconomy (ktoe)'!$C$15,0)</f>
        <v>104.6</v>
      </c>
      <c r="J474" s="71">
        <f>IFERROR(J49/' Macroeconomy (ktoe)'!$C$15,0)</f>
        <v>113.4</v>
      </c>
      <c r="K474" s="71">
        <f>IFERROR(K49/' Macroeconomy (ktoe)'!$C$15,0)</f>
        <v>128.1</v>
      </c>
      <c r="L474" s="71">
        <f>IFERROR(L49/' Macroeconomy (ktoe)'!$C$15,0)</f>
        <v>132.80000000000001</v>
      </c>
      <c r="M474" s="71">
        <f>IFERROR(M49/' Macroeconomy (ktoe)'!$C$15,0)</f>
        <v>119.3</v>
      </c>
      <c r="N474" s="71">
        <f>IFERROR(N49/' Macroeconomy (ktoe)'!$C$15,0)</f>
        <v>124.5</v>
      </c>
      <c r="O474" s="79"/>
      <c r="P474" s="79"/>
    </row>
    <row r="475" spans="1:16" x14ac:dyDescent="0.3">
      <c r="A475" s="50" t="s">
        <v>466</v>
      </c>
      <c r="B475" s="57" t="s">
        <v>66</v>
      </c>
      <c r="C475" s="75">
        <f>SUM(C461:C473)-C465-C471</f>
        <v>2253.8000000000002</v>
      </c>
      <c r="D475" s="75">
        <f t="shared" ref="D475:N475" si="62">SUM(D461:D473)-D465-D471</f>
        <v>2552.9</v>
      </c>
      <c r="E475" s="75">
        <f t="shared" si="62"/>
        <v>2586.9</v>
      </c>
      <c r="F475" s="75">
        <f t="shared" si="62"/>
        <v>2664.1000000000004</v>
      </c>
      <c r="G475" s="75">
        <f t="shared" si="62"/>
        <v>2807.5</v>
      </c>
      <c r="H475" s="75">
        <f t="shared" si="62"/>
        <v>2868.9999999999995</v>
      </c>
      <c r="I475" s="75">
        <f t="shared" si="62"/>
        <v>2991.3</v>
      </c>
      <c r="J475" s="75">
        <f t="shared" si="62"/>
        <v>3109.6</v>
      </c>
      <c r="K475" s="75">
        <f t="shared" si="62"/>
        <v>3262.6999999999994</v>
      </c>
      <c r="L475" s="75">
        <f t="shared" si="62"/>
        <v>3309.4999999999991</v>
      </c>
      <c r="M475" s="75">
        <f t="shared" si="62"/>
        <v>3070.3</v>
      </c>
      <c r="N475" s="75">
        <f t="shared" si="62"/>
        <v>3318.8999999999996</v>
      </c>
      <c r="O475" s="79"/>
      <c r="P475" s="79"/>
    </row>
    <row r="476" spans="1:16" x14ac:dyDescent="0.3">
      <c r="A476" s="50" t="s">
        <v>467</v>
      </c>
      <c r="B476" s="57" t="s">
        <v>66</v>
      </c>
      <c r="C476" s="75">
        <f>IFERROR(C50/' Macroeconomy (ktoe)'!$C$15,0)</f>
        <v>2251.9</v>
      </c>
      <c r="D476" s="75">
        <f>IFERROR(D50/' Macroeconomy (ktoe)'!$C$15,0)</f>
        <v>2552.9</v>
      </c>
      <c r="E476" s="75">
        <f>IFERROR(E50/' Macroeconomy (ktoe)'!$C$15,0)</f>
        <v>2586.9</v>
      </c>
      <c r="F476" s="75">
        <f>IFERROR(F50/' Macroeconomy (ktoe)'!$C$15,0)</f>
        <v>2664.1000000000004</v>
      </c>
      <c r="G476" s="75">
        <f>IFERROR(G50/' Macroeconomy (ktoe)'!$C$15,0)</f>
        <v>2807.5</v>
      </c>
      <c r="H476" s="75">
        <f>IFERROR(H50/' Macroeconomy (ktoe)'!$C$15,0)</f>
        <v>2868.9999999999995</v>
      </c>
      <c r="I476" s="75">
        <f>IFERROR(I50/' Macroeconomy (ktoe)'!$C$15,0)</f>
        <v>2991.3</v>
      </c>
      <c r="J476" s="75">
        <f>IFERROR(J50/' Macroeconomy (ktoe)'!$C$15,0)</f>
        <v>3109.6</v>
      </c>
      <c r="K476" s="75">
        <f>IFERROR(K50/' Macroeconomy (ktoe)'!$C$15,0)</f>
        <v>3262.6999999999994</v>
      </c>
      <c r="L476" s="75">
        <f>IFERROR(L50/' Macroeconomy (ktoe)'!$C$15,0)</f>
        <v>3309.4999999999991</v>
      </c>
      <c r="M476" s="75">
        <f>IFERROR(M50/' Macroeconomy (ktoe)'!$C$15,0)</f>
        <v>3070.3</v>
      </c>
      <c r="N476" s="75">
        <f>IFERROR(N50/' Macroeconomy (ktoe)'!$C$15,0)</f>
        <v>3318.8999999999996</v>
      </c>
      <c r="O476" s="79"/>
      <c r="P476" s="79"/>
    </row>
    <row r="477" spans="1:16" x14ac:dyDescent="0.3">
      <c r="A477" s="24" t="s">
        <v>468</v>
      </c>
      <c r="B477" s="25" t="s">
        <v>103</v>
      </c>
      <c r="C477" s="87">
        <f>IFERROR(C475/C476,"")</f>
        <v>1.0008437319596786</v>
      </c>
      <c r="D477" s="87">
        <f t="shared" ref="D477:N477" si="63">IFERROR(D475/D476,"")</f>
        <v>1</v>
      </c>
      <c r="E477" s="87">
        <f t="shared" si="63"/>
        <v>1</v>
      </c>
      <c r="F477" s="87">
        <f t="shared" si="63"/>
        <v>1</v>
      </c>
      <c r="G477" s="87">
        <f t="shared" si="63"/>
        <v>1</v>
      </c>
      <c r="H477" s="87">
        <f t="shared" si="63"/>
        <v>1</v>
      </c>
      <c r="I477" s="87">
        <f t="shared" si="63"/>
        <v>1</v>
      </c>
      <c r="J477" s="87">
        <f t="shared" si="63"/>
        <v>1</v>
      </c>
      <c r="K477" s="87">
        <f t="shared" si="63"/>
        <v>1</v>
      </c>
      <c r="L477" s="87">
        <f t="shared" si="63"/>
        <v>1</v>
      </c>
      <c r="M477" s="87">
        <f t="shared" si="63"/>
        <v>1</v>
      </c>
      <c r="N477" s="87">
        <f t="shared" si="63"/>
        <v>1</v>
      </c>
      <c r="O477" s="90"/>
      <c r="P477" s="90"/>
    </row>
    <row r="478" spans="1:16" x14ac:dyDescent="0.3">
      <c r="A478" s="24"/>
      <c r="B478" s="25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90"/>
      <c r="P478" s="90"/>
    </row>
    <row r="479" spans="1:16" x14ac:dyDescent="0.3">
      <c r="A479" s="49" t="s">
        <v>469</v>
      </c>
      <c r="B479" s="52" t="s">
        <v>66</v>
      </c>
      <c r="C479" s="89">
        <f t="shared" ref="C479:N479" si="64">C55</f>
        <v>229.71260000000001</v>
      </c>
      <c r="D479" s="89">
        <f t="shared" si="64"/>
        <v>255.3715</v>
      </c>
      <c r="E479" s="89">
        <f t="shared" si="64"/>
        <v>256.27960000000002</v>
      </c>
      <c r="F479" s="89">
        <f t="shared" si="64"/>
        <v>256.01679999999999</v>
      </c>
      <c r="G479" s="89">
        <f t="shared" si="64"/>
        <v>265.12880000000001</v>
      </c>
      <c r="H479" s="89">
        <f t="shared" si="64"/>
        <v>247.92490000000001</v>
      </c>
      <c r="I479" s="89">
        <f t="shared" si="64"/>
        <v>238.03380000000001</v>
      </c>
      <c r="J479" s="89">
        <f t="shared" si="64"/>
        <v>303.55630000000002</v>
      </c>
      <c r="K479" s="89">
        <f t="shared" si="64"/>
        <v>334.23059999999998</v>
      </c>
      <c r="L479" s="89">
        <f t="shared" si="64"/>
        <v>298.47620000000001</v>
      </c>
      <c r="M479" s="89">
        <f t="shared" si="64"/>
        <v>256.84350000000001</v>
      </c>
      <c r="N479" s="89">
        <f t="shared" si="64"/>
        <v>281.3</v>
      </c>
      <c r="O479" s="90"/>
      <c r="P479" s="90"/>
    </row>
    <row r="480" spans="1:16" x14ac:dyDescent="0.3">
      <c r="A480" s="49" t="s">
        <v>470</v>
      </c>
      <c r="B480" s="52" t="s">
        <v>66</v>
      </c>
      <c r="C480" s="89">
        <f t="shared" ref="C480:N480" si="65">C56</f>
        <v>655.37750000000005</v>
      </c>
      <c r="D480" s="89">
        <f t="shared" si="65"/>
        <v>658.17949999999996</v>
      </c>
      <c r="E480" s="89">
        <f t="shared" si="65"/>
        <v>654.74199999999996</v>
      </c>
      <c r="F480" s="89">
        <f t="shared" si="65"/>
        <v>707.93029999999999</v>
      </c>
      <c r="G480" s="89">
        <f t="shared" si="65"/>
        <v>748.64009999999996</v>
      </c>
      <c r="H480" s="89">
        <f t="shared" si="65"/>
        <v>707.92650000000003</v>
      </c>
      <c r="I480" s="89">
        <f t="shared" si="65"/>
        <v>768.06280000000004</v>
      </c>
      <c r="J480" s="89">
        <f t="shared" si="65"/>
        <v>802.63200000000006</v>
      </c>
      <c r="K480" s="89">
        <f t="shared" si="65"/>
        <v>800.52800000000002</v>
      </c>
      <c r="L480" s="89">
        <f t="shared" si="65"/>
        <v>667.29719999999998</v>
      </c>
      <c r="M480" s="89">
        <f t="shared" si="65"/>
        <v>696</v>
      </c>
      <c r="N480" s="89">
        <f t="shared" si="65"/>
        <v>751.9</v>
      </c>
      <c r="O480" s="90"/>
      <c r="P480" s="90"/>
    </row>
    <row r="481" spans="1:16" x14ac:dyDescent="0.3">
      <c r="A481" s="49" t="s">
        <v>471</v>
      </c>
      <c r="B481" s="52" t="s">
        <v>66</v>
      </c>
      <c r="C481" s="89">
        <f t="shared" ref="C481:N481" si="66">C57</f>
        <v>867.71349999999995</v>
      </c>
      <c r="D481" s="89">
        <f t="shared" si="66"/>
        <v>1119.5725</v>
      </c>
      <c r="E481" s="89">
        <f t="shared" si="66"/>
        <v>1214.8755000000001</v>
      </c>
      <c r="F481" s="89">
        <f t="shared" si="66"/>
        <v>1165.1252999999999</v>
      </c>
      <c r="G481" s="89">
        <f t="shared" si="66"/>
        <v>1094.4536000000001</v>
      </c>
      <c r="H481" s="89">
        <f t="shared" si="66"/>
        <v>1098.4851000000001</v>
      </c>
      <c r="I481" s="89">
        <f t="shared" si="66"/>
        <v>1229.943</v>
      </c>
      <c r="J481" s="89">
        <f t="shared" si="66"/>
        <v>1348.3996</v>
      </c>
      <c r="K481" s="89">
        <f t="shared" si="66"/>
        <v>1489.8443</v>
      </c>
      <c r="L481" s="89">
        <f t="shared" si="66"/>
        <v>1461.4775999999999</v>
      </c>
      <c r="M481" s="89">
        <f t="shared" si="66"/>
        <v>1513.2844</v>
      </c>
      <c r="N481" s="89">
        <f t="shared" si="66"/>
        <v>1616.3</v>
      </c>
      <c r="O481" s="90"/>
      <c r="P481" s="90"/>
    </row>
    <row r="482" spans="1:16" x14ac:dyDescent="0.3">
      <c r="A482" s="50" t="s">
        <v>472</v>
      </c>
      <c r="B482" s="57" t="s">
        <v>66</v>
      </c>
      <c r="C482" s="74">
        <f>C475+C479+C480+C481</f>
        <v>4006.6035999999999</v>
      </c>
      <c r="D482" s="74">
        <f t="shared" ref="D482:N482" si="67">D475+D479+D480+D481</f>
        <v>4586.0235000000002</v>
      </c>
      <c r="E482" s="74">
        <f t="shared" si="67"/>
        <v>4712.7970999999998</v>
      </c>
      <c r="F482" s="74">
        <f t="shared" si="67"/>
        <v>4793.1724000000004</v>
      </c>
      <c r="G482" s="74">
        <f t="shared" si="67"/>
        <v>4915.7224999999999</v>
      </c>
      <c r="H482" s="74">
        <f t="shared" si="67"/>
        <v>4923.3364999999994</v>
      </c>
      <c r="I482" s="74">
        <f t="shared" si="67"/>
        <v>5227.3396000000002</v>
      </c>
      <c r="J482" s="74">
        <f t="shared" si="67"/>
        <v>5564.1878999999999</v>
      </c>
      <c r="K482" s="74">
        <f t="shared" si="67"/>
        <v>5887.3028999999988</v>
      </c>
      <c r="L482" s="74">
        <f t="shared" si="67"/>
        <v>5736.7509999999993</v>
      </c>
      <c r="M482" s="74">
        <f t="shared" si="67"/>
        <v>5536.4279000000006</v>
      </c>
      <c r="N482" s="74">
        <f t="shared" si="67"/>
        <v>5968.4</v>
      </c>
      <c r="O482" s="90"/>
      <c r="P482" s="90"/>
    </row>
    <row r="483" spans="1:16" x14ac:dyDescent="0.3">
      <c r="A483" s="50" t="s">
        <v>473</v>
      </c>
      <c r="B483" s="57" t="s">
        <v>66</v>
      </c>
      <c r="C483" s="74">
        <f>' Macroeconomy (ktoe)'!C192</f>
        <v>3964.5989999999997</v>
      </c>
      <c r="D483" s="74">
        <f>' Macroeconomy (ktoe)'!D192</f>
        <v>4573.6727000000001</v>
      </c>
      <c r="E483" s="74">
        <f>' Macroeconomy (ktoe)'!E192</f>
        <v>4698.7450000000008</v>
      </c>
      <c r="F483" s="74">
        <f>' Macroeconomy (ktoe)'!F192</f>
        <v>4781.5433999999996</v>
      </c>
      <c r="G483" s="74">
        <f>' Macroeconomy (ktoe)'!G192</f>
        <v>4910.4049999999997</v>
      </c>
      <c r="H483" s="74">
        <f>' Macroeconomy (ktoe)'!H192</f>
        <v>4923.3197</v>
      </c>
      <c r="I483" s="74">
        <f>' Macroeconomy (ktoe)'!I192</f>
        <v>5227.2</v>
      </c>
      <c r="J483" s="74">
        <f>' Macroeconomy (ktoe)'!J192</f>
        <v>5566.1</v>
      </c>
      <c r="K483" s="74">
        <f>' Macroeconomy (ktoe)'!K192</f>
        <v>5834.5</v>
      </c>
      <c r="L483" s="74">
        <f>' Macroeconomy (ktoe)'!L192</f>
        <v>5669.5999999999995</v>
      </c>
      <c r="M483" s="74">
        <f>' Macroeconomy (ktoe)'!M192</f>
        <v>5608.2000000000007</v>
      </c>
      <c r="N483" s="74">
        <f>' Macroeconomy (ktoe)'!N192</f>
        <v>6026.4</v>
      </c>
      <c r="O483" s="90"/>
      <c r="P483" s="90"/>
    </row>
    <row r="484" spans="1:16" x14ac:dyDescent="0.3">
      <c r="A484" s="24" t="s">
        <v>474</v>
      </c>
      <c r="B484" s="25" t="s">
        <v>103</v>
      </c>
      <c r="C484" s="87">
        <f>IFERROR(C482/C483,"")</f>
        <v>1.0105949176701099</v>
      </c>
      <c r="D484" s="87">
        <f t="shared" ref="D484:N484" si="68">IFERROR(D482/D483,"")</f>
        <v>1.0027004118593794</v>
      </c>
      <c r="E484" s="87">
        <f t="shared" si="68"/>
        <v>1.0029906070663548</v>
      </c>
      <c r="F484" s="87">
        <f t="shared" si="68"/>
        <v>1.0024320599076861</v>
      </c>
      <c r="G484" s="87">
        <f t="shared" si="68"/>
        <v>1.0010829045669349</v>
      </c>
      <c r="H484" s="87">
        <f t="shared" si="68"/>
        <v>1.0000034123317239</v>
      </c>
      <c r="I484" s="87">
        <f t="shared" si="68"/>
        <v>1.0000267064585247</v>
      </c>
      <c r="J484" s="87">
        <f t="shared" si="68"/>
        <v>0.99965647401232449</v>
      </c>
      <c r="K484" s="87">
        <f t="shared" si="68"/>
        <v>1.0090501156911473</v>
      </c>
      <c r="L484" s="87">
        <f t="shared" si="68"/>
        <v>1.0118440454353042</v>
      </c>
      <c r="M484" s="87">
        <f t="shared" si="68"/>
        <v>0.98720229307086049</v>
      </c>
      <c r="N484" s="87">
        <f t="shared" si="68"/>
        <v>0.99037568033983803</v>
      </c>
      <c r="O484" s="90"/>
      <c r="P484" s="90"/>
    </row>
    <row r="485" spans="1:16" x14ac:dyDescent="0.3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spans="1:16" ht="18" x14ac:dyDescent="0.35">
      <c r="A486" s="274" t="s">
        <v>216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spans="1:16" ht="15.6" x14ac:dyDescent="0.3">
      <c r="A487" s="78" t="s">
        <v>475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spans="1:16" ht="15.6" x14ac:dyDescent="0.3">
      <c r="A488" s="7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spans="1:16" x14ac:dyDescent="0.3">
      <c r="A489" s="58" t="s">
        <v>476</v>
      </c>
      <c r="B489" s="63" t="s">
        <v>218</v>
      </c>
      <c r="C489" s="241">
        <f>IFERROR(C429/C461*1000,"")</f>
        <v>0.19781339643764406</v>
      </c>
      <c r="D489" s="241">
        <f t="shared" ref="D489:N489" si="69">IFERROR(D429/D461*1000,"")</f>
        <v>0.17468746220083767</v>
      </c>
      <c r="E489" s="241">
        <f t="shared" si="69"/>
        <v>0.17608296502241932</v>
      </c>
      <c r="F489" s="241">
        <f t="shared" si="69"/>
        <v>0.17726585515416485</v>
      </c>
      <c r="G489" s="241">
        <f t="shared" si="69"/>
        <v>0.16336911817701597</v>
      </c>
      <c r="H489" s="241">
        <f t="shared" si="69"/>
        <v>0.16955420173530023</v>
      </c>
      <c r="I489" s="241">
        <f t="shared" si="69"/>
        <v>0.17445269448905926</v>
      </c>
      <c r="J489" s="241">
        <f t="shared" si="69"/>
        <v>0.14327180934573802</v>
      </c>
      <c r="K489" s="241">
        <f t="shared" si="69"/>
        <v>0.13747322329047243</v>
      </c>
      <c r="L489" s="241">
        <f t="shared" si="69"/>
        <v>0.15950166151242801</v>
      </c>
      <c r="M489" s="241">
        <f t="shared" si="69"/>
        <v>0.1813346405562386</v>
      </c>
      <c r="N489" s="241">
        <f t="shared" si="69"/>
        <v>0.14519730770805578</v>
      </c>
      <c r="O489" s="49"/>
      <c r="P489" s="49"/>
    </row>
    <row r="490" spans="1:16" x14ac:dyDescent="0.3">
      <c r="A490" s="58" t="s">
        <v>477</v>
      </c>
      <c r="B490" s="63" t="s">
        <v>218</v>
      </c>
      <c r="C490" s="241">
        <f t="shared" ref="C490:N494" si="70">IFERROR(C430/C462*1000,"")</f>
        <v>0.12902597402597404</v>
      </c>
      <c r="D490" s="241">
        <f t="shared" si="70"/>
        <v>0.10015365703749232</v>
      </c>
      <c r="E490" s="241">
        <f t="shared" si="70"/>
        <v>9.3050647820965837E-2</v>
      </c>
      <c r="F490" s="241">
        <f t="shared" si="70"/>
        <v>8.611488573193328E-2</v>
      </c>
      <c r="G490" s="241">
        <f t="shared" si="70"/>
        <v>8.8634730538922152E-2</v>
      </c>
      <c r="H490" s="241">
        <f t="shared" si="70"/>
        <v>7.6712962962962955E-2</v>
      </c>
      <c r="I490" s="241">
        <f t="shared" si="70"/>
        <v>6.3104593248478141E-2</v>
      </c>
      <c r="J490" s="241">
        <f t="shared" si="70"/>
        <v>4.6263157894736839E-2</v>
      </c>
      <c r="K490" s="241">
        <f t="shared" si="70"/>
        <v>5.0251572327044025E-2</v>
      </c>
      <c r="L490" s="241">
        <f t="shared" si="70"/>
        <v>5.4808661583339767E-2</v>
      </c>
      <c r="M490" s="241">
        <f t="shared" si="70"/>
        <v>6.0547769313132715E-2</v>
      </c>
      <c r="N490" s="241">
        <f t="shared" si="70"/>
        <v>7.3763601251107966E-2</v>
      </c>
      <c r="O490" s="49"/>
      <c r="P490" s="49"/>
    </row>
    <row r="491" spans="1:16" x14ac:dyDescent="0.3">
      <c r="A491" s="58" t="s">
        <v>478</v>
      </c>
      <c r="B491" s="63" t="s">
        <v>218</v>
      </c>
      <c r="C491" s="241">
        <f t="shared" si="70"/>
        <v>0.36166631471180388</v>
      </c>
      <c r="D491" s="241">
        <f t="shared" si="70"/>
        <v>0.33392864884748819</v>
      </c>
      <c r="E491" s="241">
        <f t="shared" si="70"/>
        <v>0.26679427244794834</v>
      </c>
      <c r="F491" s="241">
        <f t="shared" si="70"/>
        <v>0.30246244859438037</v>
      </c>
      <c r="G491" s="241">
        <f t="shared" si="70"/>
        <v>0.27749035674667882</v>
      </c>
      <c r="H491" s="241">
        <f t="shared" si="70"/>
        <v>0.27223607647547798</v>
      </c>
      <c r="I491" s="241">
        <f t="shared" si="70"/>
        <v>0.11671203571693682</v>
      </c>
      <c r="J491" s="241">
        <f t="shared" si="70"/>
        <v>0.11656984033355602</v>
      </c>
      <c r="K491" s="241">
        <f t="shared" si="70"/>
        <v>0.1205210725738468</v>
      </c>
      <c r="L491" s="241">
        <f t="shared" si="70"/>
        <v>0.12859410830834364</v>
      </c>
      <c r="M491" s="241">
        <f t="shared" si="70"/>
        <v>0.16078225042903349</v>
      </c>
      <c r="N491" s="241">
        <f t="shared" si="70"/>
        <v>0.13320604165824113</v>
      </c>
      <c r="O491" s="49"/>
      <c r="P491" s="49"/>
    </row>
    <row r="492" spans="1:16" x14ac:dyDescent="0.3">
      <c r="A492" s="58" t="s">
        <v>479</v>
      </c>
      <c r="B492" s="63" t="s">
        <v>218</v>
      </c>
      <c r="C492" s="241">
        <f t="shared" si="70"/>
        <v>0.54355987626168434</v>
      </c>
      <c r="D492" s="241">
        <f t="shared" si="70"/>
        <v>0.52482365551750021</v>
      </c>
      <c r="E492" s="241">
        <f t="shared" si="70"/>
        <v>0.46792830911429362</v>
      </c>
      <c r="F492" s="241">
        <f t="shared" si="70"/>
        <v>0.45059148146589439</v>
      </c>
      <c r="G492" s="241">
        <f t="shared" si="70"/>
        <v>0.43560017042421878</v>
      </c>
      <c r="H492" s="241">
        <f t="shared" si="70"/>
        <v>0.44621066446990532</v>
      </c>
      <c r="I492" s="241">
        <f t="shared" si="70"/>
        <v>0.43341845735129408</v>
      </c>
      <c r="J492" s="241">
        <f t="shared" si="70"/>
        <v>0.48903033756142228</v>
      </c>
      <c r="K492" s="241">
        <f t="shared" si="70"/>
        <v>0.53997194950911642</v>
      </c>
      <c r="L492" s="241">
        <f t="shared" si="70"/>
        <v>0.44787913804824098</v>
      </c>
      <c r="M492" s="241">
        <f t="shared" si="70"/>
        <v>0.45657643137922771</v>
      </c>
      <c r="N492" s="241">
        <f t="shared" si="70"/>
        <v>0.4037947202652693</v>
      </c>
      <c r="O492" s="49"/>
      <c r="P492" s="49"/>
    </row>
    <row r="493" spans="1:16" x14ac:dyDescent="0.3">
      <c r="A493" s="58" t="s">
        <v>480</v>
      </c>
      <c r="B493" s="63" t="s">
        <v>218</v>
      </c>
      <c r="C493" s="241">
        <f t="shared" si="70"/>
        <v>0.82818218085363671</v>
      </c>
      <c r="D493" s="241">
        <f t="shared" si="70"/>
        <v>0.74414174441489689</v>
      </c>
      <c r="E493" s="241">
        <f t="shared" si="70"/>
        <v>0.83108710588619061</v>
      </c>
      <c r="F493" s="241">
        <f t="shared" si="70"/>
        <v>1.2813151286821391</v>
      </c>
      <c r="G493" s="241">
        <f t="shared" si="70"/>
        <v>0.5090702227858106</v>
      </c>
      <c r="H493" s="241">
        <f t="shared" si="70"/>
        <v>0.74539553810185</v>
      </c>
      <c r="I493" s="241">
        <f t="shared" si="70"/>
        <v>0.65044610018593285</v>
      </c>
      <c r="J493" s="241">
        <f t="shared" si="70"/>
        <v>0.59851362194956692</v>
      </c>
      <c r="K493" s="241">
        <f t="shared" si="70"/>
        <v>0.60200036718743088</v>
      </c>
      <c r="L493" s="241">
        <f t="shared" si="70"/>
        <v>0.68259893836249863</v>
      </c>
      <c r="M493" s="241">
        <f t="shared" si="70"/>
        <v>0.56454484657408122</v>
      </c>
      <c r="N493" s="241">
        <f t="shared" si="70"/>
        <v>0.64623907491765753</v>
      </c>
      <c r="O493" s="49"/>
      <c r="P493" s="49"/>
    </row>
    <row r="494" spans="1:16" x14ac:dyDescent="0.3">
      <c r="A494" s="58" t="s">
        <v>481</v>
      </c>
      <c r="B494" s="63" t="s">
        <v>218</v>
      </c>
      <c r="C494" s="241">
        <f t="shared" si="70"/>
        <v>1.8296134142624767</v>
      </c>
      <c r="D494" s="241">
        <f t="shared" si="70"/>
        <v>1.9086314422006458</v>
      </c>
      <c r="E494" s="241">
        <f t="shared" si="70"/>
        <v>1.6195805667293035</v>
      </c>
      <c r="F494" s="241">
        <f t="shared" si="70"/>
        <v>2.1652443456047603</v>
      </c>
      <c r="G494" s="241">
        <f t="shared" si="70"/>
        <v>1.5342236420378295</v>
      </c>
      <c r="H494" s="241">
        <f t="shared" si="70"/>
        <v>0.9369500553479938</v>
      </c>
      <c r="I494" s="241">
        <f t="shared" si="70"/>
        <v>0.94174390967211907</v>
      </c>
      <c r="J494" s="241">
        <f t="shared" si="70"/>
        <v>2.7481004887830283</v>
      </c>
      <c r="K494" s="241">
        <f t="shared" si="70"/>
        <v>3.237768997485118</v>
      </c>
      <c r="L494" s="241">
        <f t="shared" si="70"/>
        <v>2.2120636022519</v>
      </c>
      <c r="M494" s="241">
        <f t="shared" si="70"/>
        <v>0.75786608098432418</v>
      </c>
      <c r="N494" s="241">
        <f t="shared" si="70"/>
        <v>0.90802621045453202</v>
      </c>
      <c r="O494" s="49"/>
      <c r="P494" s="49"/>
    </row>
    <row r="495" spans="1:16" x14ac:dyDescent="0.3">
      <c r="A495" s="58" t="s">
        <v>482</v>
      </c>
      <c r="B495" s="63" t="s">
        <v>218</v>
      </c>
      <c r="C495" s="241">
        <f>IFERROR(C436+C437/C469*1000,"")</f>
        <v>0.26156249137495852</v>
      </c>
      <c r="D495" s="241">
        <f t="shared" ref="D495:N495" si="71">IFERROR(D436+D437/D469*1000,"")</f>
        <v>0.13024219910568605</v>
      </c>
      <c r="E495" s="241">
        <f t="shared" si="71"/>
        <v>0.40780846954714789</v>
      </c>
      <c r="F495" s="241">
        <f t="shared" si="71"/>
        <v>0.23712998239582064</v>
      </c>
      <c r="G495" s="241">
        <f t="shared" si="71"/>
        <v>0.18305616434321687</v>
      </c>
      <c r="H495" s="241">
        <f t="shared" si="71"/>
        <v>0.10939258190537673</v>
      </c>
      <c r="I495" s="241">
        <f t="shared" si="71"/>
        <v>0.10815602697004549</v>
      </c>
      <c r="J495" s="241">
        <f t="shared" si="71"/>
        <v>4.6111113724508948E-2</v>
      </c>
      <c r="K495" s="241">
        <f t="shared" si="71"/>
        <v>5.3033106799606274E-2</v>
      </c>
      <c r="L495" s="241">
        <f t="shared" si="71"/>
        <v>2.247641864703577E-2</v>
      </c>
      <c r="M495" s="241">
        <f t="shared" si="71"/>
        <v>2.3058911763427236E-2</v>
      </c>
      <c r="N495" s="241">
        <f t="shared" si="71"/>
        <v>1.2724721044464869E-2</v>
      </c>
      <c r="O495" s="49"/>
      <c r="P495" s="49"/>
    </row>
    <row r="496" spans="1:16" x14ac:dyDescent="0.3">
      <c r="A496" s="58" t="s">
        <v>483</v>
      </c>
      <c r="B496" s="63" t="s">
        <v>218</v>
      </c>
      <c r="C496" s="241">
        <f>IFERROR(C438/C470*1000,"")</f>
        <v>7.4769884202491019E-2</v>
      </c>
      <c r="D496" s="241">
        <f t="shared" ref="D496:N496" si="72">IFERROR(D438/D470*1000,"")</f>
        <v>6.0160409409087977E-2</v>
      </c>
      <c r="E496" s="241">
        <f t="shared" si="72"/>
        <v>6.0033618791193857E-2</v>
      </c>
      <c r="F496" s="241">
        <f t="shared" si="72"/>
        <v>5.3754381852189177E-2</v>
      </c>
      <c r="G496" s="241">
        <f t="shared" si="72"/>
        <v>4.814355466248068E-2</v>
      </c>
      <c r="H496" s="241">
        <f t="shared" si="72"/>
        <v>4.4773920288477258E-2</v>
      </c>
      <c r="I496" s="241">
        <f t="shared" si="72"/>
        <v>4.5840758788448843E-2</v>
      </c>
      <c r="J496" s="241">
        <f t="shared" si="72"/>
        <v>4.2999356861213658E-2</v>
      </c>
      <c r="K496" s="241">
        <f t="shared" si="72"/>
        <v>4.1918496021411372E-2</v>
      </c>
      <c r="L496" s="241">
        <f t="shared" si="72"/>
        <v>3.3949665330482236E-2</v>
      </c>
      <c r="M496" s="241">
        <f t="shared" si="72"/>
        <v>3.4818898736976488E-2</v>
      </c>
      <c r="N496" s="241">
        <f t="shared" si="72"/>
        <v>3.9621291624548992E-2</v>
      </c>
      <c r="O496" s="49"/>
      <c r="P496" s="49"/>
    </row>
    <row r="497" spans="1:16" x14ac:dyDescent="0.3">
      <c r="A497" s="58" t="s">
        <v>484</v>
      </c>
      <c r="B497" s="63" t="s">
        <v>218</v>
      </c>
      <c r="C497" s="241">
        <f>IFERROR(C440/C472*1000,"")</f>
        <v>8.2173913043478278E-2</v>
      </c>
      <c r="D497" s="241">
        <f t="shared" ref="D497:N497" si="73">IFERROR(D440/D472*1000,"")</f>
        <v>6.8185365853658544E-2</v>
      </c>
      <c r="E497" s="241">
        <f t="shared" si="73"/>
        <v>9.6138248847926266E-2</v>
      </c>
      <c r="F497" s="241">
        <f t="shared" si="73"/>
        <v>0.10693404634581107</v>
      </c>
      <c r="G497" s="241">
        <f t="shared" si="73"/>
        <v>9.3306159420289844E-2</v>
      </c>
      <c r="H497" s="241">
        <f t="shared" si="73"/>
        <v>8.6121112929623544E-2</v>
      </c>
      <c r="I497" s="241">
        <f t="shared" si="73"/>
        <v>8.5416666666666655E-2</v>
      </c>
      <c r="J497" s="241">
        <f t="shared" si="73"/>
        <v>8.8161290322580646E-2</v>
      </c>
      <c r="K497" s="241">
        <f t="shared" si="73"/>
        <v>8.6005809731299926E-2</v>
      </c>
      <c r="L497" s="241">
        <f t="shared" si="73"/>
        <v>6.747839835425784E-2</v>
      </c>
      <c r="M497" s="241">
        <f t="shared" si="73"/>
        <v>6.4245301758445977E-2</v>
      </c>
      <c r="N497" s="241">
        <f t="shared" si="73"/>
        <v>6.8157017648044743E-2</v>
      </c>
      <c r="O497" s="49"/>
      <c r="P497" s="49"/>
    </row>
    <row r="498" spans="1:16" x14ac:dyDescent="0.3">
      <c r="A498" s="58" t="s">
        <v>485</v>
      </c>
      <c r="B498" s="63" t="s">
        <v>218</v>
      </c>
      <c r="C498" s="241">
        <f>IFERROR(C441/C473*1000,"")</f>
        <v>0.13173908235850132</v>
      </c>
      <c r="D498" s="241">
        <f t="shared" ref="D498:N498" si="74">IFERROR(D441/D473*1000,"")</f>
        <v>0.11175149985664878</v>
      </c>
      <c r="E498" s="241">
        <f t="shared" si="74"/>
        <v>9.7609921935089702E-2</v>
      </c>
      <c r="F498" s="241">
        <f t="shared" si="74"/>
        <v>6.3544549056930688E-2</v>
      </c>
      <c r="G498" s="241">
        <f t="shared" si="74"/>
        <v>5.9746966152691899E-2</v>
      </c>
      <c r="H498" s="241">
        <f t="shared" si="74"/>
        <v>7.7719381358132444E-2</v>
      </c>
      <c r="I498" s="241">
        <f t="shared" si="74"/>
        <v>5.452337972827917E-2</v>
      </c>
      <c r="J498" s="241">
        <f t="shared" si="74"/>
        <v>5.0356186823285319E-2</v>
      </c>
      <c r="K498" s="241">
        <f t="shared" si="74"/>
        <v>4.3095693244338831E-2</v>
      </c>
      <c r="L498" s="241">
        <f t="shared" si="74"/>
        <v>3.4304667283712439E-2</v>
      </c>
      <c r="M498" s="241">
        <f t="shared" si="74"/>
        <v>3.4942871606859223E-2</v>
      </c>
      <c r="N498" s="241">
        <f t="shared" si="74"/>
        <v>3.4012464898251139E-2</v>
      </c>
      <c r="O498" s="49"/>
      <c r="P498" s="49"/>
    </row>
    <row r="499" spans="1:16" x14ac:dyDescent="0.3">
      <c r="A499" s="80" t="s">
        <v>486</v>
      </c>
      <c r="B499" s="63" t="s">
        <v>218</v>
      </c>
      <c r="C499" s="242">
        <f>IFERROR(C443/C475*1000,"")</f>
        <v>0.23633873263527702</v>
      </c>
      <c r="D499" s="242">
        <f t="shared" ref="D499:N499" si="75">IFERROR(D443/D475*1000,"")</f>
        <v>0.20736046882591977</v>
      </c>
      <c r="E499" s="242">
        <f t="shared" si="75"/>
        <v>0.19348144907279044</v>
      </c>
      <c r="F499" s="242">
        <f t="shared" si="75"/>
        <v>0.21654857496466753</v>
      </c>
      <c r="G499" s="242">
        <f t="shared" si="75"/>
        <v>0.17664158120453005</v>
      </c>
      <c r="H499" s="242">
        <f t="shared" si="75"/>
        <v>0.16607466080102928</v>
      </c>
      <c r="I499" s="242">
        <f t="shared" si="75"/>
        <v>0.12889660765709088</v>
      </c>
      <c r="J499" s="242">
        <f t="shared" si="75"/>
        <v>0.13066213983005864</v>
      </c>
      <c r="K499" s="242">
        <f t="shared" si="75"/>
        <v>0.13037784717295842</v>
      </c>
      <c r="L499" s="242">
        <f t="shared" si="75"/>
        <v>0.12194128567606549</v>
      </c>
      <c r="M499" s="242">
        <f t="shared" si="75"/>
        <v>0.11395025547339216</v>
      </c>
      <c r="N499" s="242">
        <f t="shared" si="75"/>
        <v>0.10278815093948371</v>
      </c>
      <c r="O499" s="49"/>
      <c r="P499" s="49"/>
    </row>
    <row r="500" spans="1:16" x14ac:dyDescent="0.3">
      <c r="A500" s="80" t="s">
        <v>487</v>
      </c>
      <c r="B500" s="63" t="s">
        <v>218</v>
      </c>
      <c r="C500" s="242">
        <f>IFERROR(C444/C476*1000,"")</f>
        <v>0.23642763363042374</v>
      </c>
      <c r="D500" s="242">
        <f t="shared" ref="D500:N500" si="76">IFERROR(D444/D476*1000,"")</f>
        <v>0.20726049386928269</v>
      </c>
      <c r="E500" s="242">
        <f t="shared" si="76"/>
        <v>0.1935862195905797</v>
      </c>
      <c r="F500" s="242">
        <f t="shared" si="76"/>
        <v>0.21653113979757824</v>
      </c>
      <c r="G500" s="242">
        <f t="shared" si="76"/>
        <v>0.17663962071867137</v>
      </c>
      <c r="H500" s="242">
        <f t="shared" si="76"/>
        <v>0.16612652029284353</v>
      </c>
      <c r="I500" s="242">
        <f t="shared" si="76"/>
        <v>0.12890476231585915</v>
      </c>
      <c r="J500" s="242">
        <f t="shared" si="76"/>
        <v>0.13066781558486493</v>
      </c>
      <c r="K500" s="242">
        <f t="shared" si="76"/>
        <v>0.13038539445343827</v>
      </c>
      <c r="L500" s="242">
        <f t="shared" si="76"/>
        <v>0.12153391446463313</v>
      </c>
      <c r="M500" s="242">
        <f t="shared" si="76"/>
        <v>0.11392691776405167</v>
      </c>
      <c r="N500" s="242">
        <f t="shared" si="76"/>
        <v>0.10278815093948369</v>
      </c>
      <c r="O500" s="49"/>
      <c r="P500" s="49"/>
    </row>
    <row r="501" spans="1:16" x14ac:dyDescent="0.3">
      <c r="A501" s="58" t="s">
        <v>488</v>
      </c>
      <c r="B501" s="63" t="s">
        <v>218</v>
      </c>
      <c r="C501" s="241">
        <f>IFERROR(C447/C479*1000,"")</f>
        <v>3.9267710391014156E-2</v>
      </c>
      <c r="D501" s="241">
        <f t="shared" ref="D501:N501" si="77">IFERROR(D447/D479*1000,"")</f>
        <v>3.9754345867310956E-2</v>
      </c>
      <c r="E501" s="241">
        <f t="shared" si="77"/>
        <v>5.2455078133290221E-2</v>
      </c>
      <c r="F501" s="241">
        <f t="shared" si="77"/>
        <v>5.5530832571742898E-2</v>
      </c>
      <c r="G501" s="241">
        <f t="shared" si="77"/>
        <v>4.3714249893899583E-2</v>
      </c>
      <c r="H501" s="241">
        <f t="shared" si="77"/>
        <v>4.4060518838990551E-2</v>
      </c>
      <c r="I501" s="241">
        <f t="shared" si="77"/>
        <v>5.1047602601114551E-2</v>
      </c>
      <c r="J501" s="241">
        <f t="shared" si="77"/>
        <v>3.0462525354558709E-2</v>
      </c>
      <c r="K501" s="241">
        <f t="shared" si="77"/>
        <v>2.9299551474540171E-2</v>
      </c>
      <c r="L501" s="241">
        <f t="shared" si="77"/>
        <v>2.616821864072465E-2</v>
      </c>
      <c r="M501" s="241">
        <f t="shared" si="77"/>
        <v>1.7947605467573333E-2</v>
      </c>
      <c r="N501" s="241">
        <f t="shared" si="77"/>
        <v>2.0377893775541778E-2</v>
      </c>
      <c r="O501" s="49"/>
      <c r="P501" s="49"/>
    </row>
    <row r="502" spans="1:16" x14ac:dyDescent="0.3">
      <c r="A502" s="58" t="s">
        <v>489</v>
      </c>
      <c r="B502" s="63" t="s">
        <v>218</v>
      </c>
      <c r="C502" s="241">
        <f>IFERROR(C449/C481*1000,"")</f>
        <v>4.1774980428043319E-2</v>
      </c>
      <c r="D502" s="241">
        <f t="shared" ref="D502:N502" si="78">IFERROR(D449/D481*1000,"")</f>
        <v>4.1813992161284064E-2</v>
      </c>
      <c r="E502" s="241">
        <f t="shared" si="78"/>
        <v>4.1177872442873735E-2</v>
      </c>
      <c r="F502" s="241">
        <f t="shared" si="78"/>
        <v>4.1639241850151519E-2</v>
      </c>
      <c r="G502" s="241">
        <f t="shared" si="78"/>
        <v>4.4139851004967597E-2</v>
      </c>
      <c r="H502" s="241">
        <f t="shared" si="78"/>
        <v>4.3281848965575201E-2</v>
      </c>
      <c r="I502" s="241">
        <f t="shared" si="78"/>
        <v>4.8784704349843853E-2</v>
      </c>
      <c r="J502" s="241">
        <f t="shared" si="78"/>
        <v>3.7216795423407882E-2</v>
      </c>
      <c r="K502" s="241">
        <f t="shared" si="78"/>
        <v>3.53423776218319E-2</v>
      </c>
      <c r="L502" s="241">
        <f t="shared" si="78"/>
        <v>3.3747371828190618E-2</v>
      </c>
      <c r="M502" s="241">
        <f t="shared" si="78"/>
        <v>3.5622860361757401E-2</v>
      </c>
      <c r="N502" s="241">
        <f t="shared" si="78"/>
        <v>1.9373072479035278E-2</v>
      </c>
      <c r="O502" s="49"/>
      <c r="P502" s="49"/>
    </row>
    <row r="503" spans="1:16" x14ac:dyDescent="0.3">
      <c r="A503" s="80" t="s">
        <v>490</v>
      </c>
      <c r="B503" s="63" t="s">
        <v>218</v>
      </c>
      <c r="C503" s="242">
        <f>IFERROR(C450/C482*1000,"")</f>
        <v>0.14424417677431409</v>
      </c>
      <c r="D503" s="242">
        <f t="shared" ref="D503:N503" si="79">IFERROR(D450/D482*1000,"")</f>
        <v>0.12785291299539434</v>
      </c>
      <c r="E503" s="242">
        <f t="shared" si="79"/>
        <v>0.11967124903835612</v>
      </c>
      <c r="F503" s="242">
        <f t="shared" si="79"/>
        <v>0.13344790576949717</v>
      </c>
      <c r="G503" s="242">
        <f t="shared" si="79"/>
        <v>0.11306988233872807</v>
      </c>
      <c r="H503" s="242">
        <f t="shared" si="79"/>
        <v>0.10865322078927424</v>
      </c>
      <c r="I503" s="242">
        <f t="shared" si="79"/>
        <v>8.7563066102468098E-2</v>
      </c>
      <c r="J503" s="242">
        <f t="shared" si="79"/>
        <v>8.3702635844314574E-2</v>
      </c>
      <c r="K503" s="242">
        <f t="shared" si="79"/>
        <v>8.2861584799486326E-2</v>
      </c>
      <c r="L503" s="242">
        <f t="shared" si="79"/>
        <v>8.0306135544555263E-2</v>
      </c>
      <c r="M503" s="242">
        <f t="shared" si="79"/>
        <v>7.3762129920213068E-2</v>
      </c>
      <c r="N503" s="242">
        <f t="shared" si="79"/>
        <v>6.3365155271090601E-2</v>
      </c>
      <c r="O503" s="49"/>
      <c r="P503" s="49"/>
    </row>
    <row r="504" spans="1:16" x14ac:dyDescent="0.3">
      <c r="A504" s="80" t="s">
        <v>491</v>
      </c>
      <c r="B504" s="63" t="s">
        <v>218</v>
      </c>
      <c r="C504" s="242">
        <f>IFERROR(C451/C483*1000,"")</f>
        <v>0.14571374562040815</v>
      </c>
      <c r="D504" s="242">
        <f t="shared" ref="D504:N504" si="80">IFERROR(D451/D483*1000,"")</f>
        <v>0.12814210801410197</v>
      </c>
      <c r="E504" s="242">
        <f t="shared" si="80"/>
        <v>0.12004957793307725</v>
      </c>
      <c r="F504" s="242">
        <f t="shared" si="80"/>
        <v>0.13376547551126933</v>
      </c>
      <c r="G504" s="242">
        <f t="shared" si="80"/>
        <v>0.11319680772390639</v>
      </c>
      <c r="H504" s="242">
        <f t="shared" si="80"/>
        <v>0.1086695240298108</v>
      </c>
      <c r="I504" s="242">
        <f t="shared" si="80"/>
        <v>8.7579570337067938E-2</v>
      </c>
      <c r="J504" s="242">
        <f t="shared" si="80"/>
        <v>8.3680383574366218E-2</v>
      </c>
      <c r="K504" s="242">
        <f t="shared" si="80"/>
        <v>8.3613461969604994E-2</v>
      </c>
      <c r="L504" s="242">
        <f t="shared" si="80"/>
        <v>8.1006909592389584E-2</v>
      </c>
      <c r="M504" s="242">
        <f t="shared" si="80"/>
        <v>7.2754260762588924E-2</v>
      </c>
      <c r="N504" s="242">
        <f t="shared" si="80"/>
        <v>6.2751345435137773E-2</v>
      </c>
      <c r="O504" s="49"/>
      <c r="P504" s="49"/>
    </row>
    <row r="505" spans="1:16" x14ac:dyDescent="0.3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spans="1:16" ht="15.6" x14ac:dyDescent="0.3">
      <c r="A506" s="8" t="s">
        <v>492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spans="1:16" x14ac:dyDescent="0.3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spans="1:16" x14ac:dyDescent="0.3">
      <c r="A508" s="58" t="s">
        <v>493</v>
      </c>
      <c r="B508" s="63" t="s">
        <v>494</v>
      </c>
      <c r="C508" s="241">
        <f>IFERROR(C436/C89*1000,"")</f>
        <v>1.3534600808891435</v>
      </c>
      <c r="D508" s="241">
        <f t="shared" ref="D508:N508" si="81">IFERROR(D436/D89*1000,"")</f>
        <v>1.3534600808891435</v>
      </c>
      <c r="E508" s="241">
        <f t="shared" si="81"/>
        <v>0.95538358650998356</v>
      </c>
      <c r="F508" s="241">
        <f t="shared" si="81"/>
        <v>0.95538358650998356</v>
      </c>
      <c r="G508" s="241">
        <f t="shared" si="81"/>
        <v>0.96179555688924545</v>
      </c>
      <c r="H508" s="241">
        <f t="shared" si="81"/>
        <v>0.49759561797394986</v>
      </c>
      <c r="I508" s="241">
        <f t="shared" si="81"/>
        <v>0.24608365107075339</v>
      </c>
      <c r="J508" s="241">
        <f t="shared" si="81"/>
        <v>0.28434035312797129</v>
      </c>
      <c r="K508" s="241">
        <f t="shared" si="81"/>
        <v>0.61281820815265153</v>
      </c>
      <c r="L508" s="241">
        <f t="shared" si="81"/>
        <v>0.78282825254479149</v>
      </c>
      <c r="M508" s="241">
        <f t="shared" si="81"/>
        <v>0.74347433701591037</v>
      </c>
      <c r="N508" s="241">
        <f t="shared" si="81"/>
        <v>15.05964039265422</v>
      </c>
      <c r="O508" s="49"/>
      <c r="P508" s="49"/>
    </row>
    <row r="509" spans="1:16" x14ac:dyDescent="0.3">
      <c r="A509" s="58" t="s">
        <v>495</v>
      </c>
      <c r="B509" s="63" t="s">
        <v>494</v>
      </c>
      <c r="C509" s="241">
        <f>IFERROR(C435/C92*1000,"")</f>
        <v>0.22008553867711222</v>
      </c>
      <c r="D509" s="241">
        <f t="shared" ref="D509:N509" si="82">IFERROR(D435/D92*1000,"")</f>
        <v>0.23621741871878188</v>
      </c>
      <c r="E509" s="241">
        <f t="shared" si="82"/>
        <v>0.21722843122241231</v>
      </c>
      <c r="F509" s="241">
        <f t="shared" si="82"/>
        <v>0.22025939083401636</v>
      </c>
      <c r="G509" s="241">
        <f t="shared" si="82"/>
        <v>0.23458100108203836</v>
      </c>
      <c r="H509" s="241">
        <f t="shared" si="82"/>
        <v>0.13161848103808549</v>
      </c>
      <c r="I509" s="241">
        <f t="shared" si="82"/>
        <v>0.13862938300968025</v>
      </c>
      <c r="J509" s="241">
        <f t="shared" si="82"/>
        <v>0.1522474909168369</v>
      </c>
      <c r="K509" s="241">
        <f t="shared" si="82"/>
        <v>0.16385300822255858</v>
      </c>
      <c r="L509" s="241">
        <f t="shared" si="82"/>
        <v>0.66293214423871072</v>
      </c>
      <c r="M509" s="241">
        <f t="shared" si="82"/>
        <v>2.8679117863236892E-2</v>
      </c>
      <c r="N509" s="241">
        <f t="shared" si="82"/>
        <v>10.426198301931972</v>
      </c>
      <c r="O509" s="49"/>
      <c r="P509" s="49"/>
    </row>
    <row r="510" spans="1:16" x14ac:dyDescent="0.3">
      <c r="A510" s="58" t="s">
        <v>496</v>
      </c>
      <c r="B510" s="63" t="s">
        <v>494</v>
      </c>
      <c r="C510" s="241">
        <f>IFERROR(C432/(C95+C96)*1000,"")</f>
        <v>0.22914960418109118</v>
      </c>
      <c r="D510" s="241">
        <f t="shared" ref="D510:N510" si="83">IFERROR(D432/(D95+D96)*1000,"")</f>
        <v>0.21935075701656401</v>
      </c>
      <c r="E510" s="241">
        <f t="shared" si="83"/>
        <v>0.20461489427893648</v>
      </c>
      <c r="F510" s="241">
        <f t="shared" si="83"/>
        <v>0.20425204750747272</v>
      </c>
      <c r="G510" s="241">
        <f t="shared" si="83"/>
        <v>0.1887959293671832</v>
      </c>
      <c r="H510" s="241">
        <f t="shared" si="83"/>
        <v>0.19046063569375521</v>
      </c>
      <c r="I510" s="241">
        <f t="shared" si="83"/>
        <v>0.19948393783808246</v>
      </c>
      <c r="J510" s="241">
        <f t="shared" si="83"/>
        <v>0.23431760335367713</v>
      </c>
      <c r="K510" s="241">
        <f t="shared" si="83"/>
        <v>0.24867588166903498</v>
      </c>
      <c r="L510" s="241">
        <f t="shared" si="83"/>
        <v>0.21990231483700473</v>
      </c>
      <c r="M510" s="241">
        <f t="shared" si="83"/>
        <v>0.21644342753906998</v>
      </c>
      <c r="N510" s="241">
        <f t="shared" si="83"/>
        <v>2.1182443626882415</v>
      </c>
      <c r="O510" s="49"/>
      <c r="P510" s="49"/>
    </row>
    <row r="511" spans="1:16" x14ac:dyDescent="0.3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spans="1:16" x14ac:dyDescent="0.3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spans="1:16" x14ac:dyDescent="0.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</sheetData>
  <conditionalFormatting sqref="C9:N510">
    <cfRule type="containsBlanks" dxfId="1129" priority="1">
      <formula>LEN(TRIM(C9))=0</formula>
    </cfRule>
  </conditionalFormatting>
  <conditionalFormatting sqref="O9:O23 P23">
    <cfRule type="expression" dxfId="1128" priority="1919">
      <formula>AND($AH9&lt;&gt;"",ISBLANK($E9:$AD9))</formula>
    </cfRule>
  </conditionalFormatting>
  <conditionalFormatting sqref="O27:O50">
    <cfRule type="expression" dxfId="1127" priority="1385">
      <formula>AND($AH27&lt;&gt;"",ISBLANK($E27:$AD27))</formula>
    </cfRule>
    <cfRule type="expression" dxfId="1126" priority="1384">
      <formula>AND(COUNT(K27:XEJ27)&lt;&gt;0,(O27)="")</formula>
    </cfRule>
  </conditionalFormatting>
  <conditionalFormatting sqref="O55:O57">
    <cfRule type="expression" dxfId="1125" priority="1373">
      <formula>AND(COUNT(K55:XEJ55)&lt;&gt;0,(O55)="")</formula>
    </cfRule>
    <cfRule type="expression" dxfId="1124" priority="1374">
      <formula>AND($AH55&lt;&gt;"",ISBLANK($E55:$AD55))</formula>
    </cfRule>
  </conditionalFormatting>
  <conditionalFormatting sqref="O65:O78">
    <cfRule type="expression" dxfId="1123" priority="1371">
      <formula>AND($AK65&lt;&gt;"",ISBLANK($E65:$AG65))</formula>
    </cfRule>
    <cfRule type="expression" dxfId="1122" priority="1372">
      <formula>AND(COUNT(K65:XEM65)&lt;&gt;0,(O65)="")</formula>
    </cfRule>
  </conditionalFormatting>
  <conditionalFormatting sqref="O83:O86">
    <cfRule type="expression" dxfId="1121" priority="1340">
      <formula>AND(COUNT(K83:XEM83)&lt;&gt;0,(O83)="")</formula>
    </cfRule>
    <cfRule type="expression" dxfId="1120" priority="1339">
      <formula>AND($AK83&lt;&gt;"",ISBLANK($E83:$AG83))</formula>
    </cfRule>
  </conditionalFormatting>
  <conditionalFormatting sqref="O89:O101">
    <cfRule type="expression" dxfId="1119" priority="1338">
      <formula>AND(COUNT(K89:XEM89)&lt;&gt;0,(O89)="")</formula>
    </cfRule>
    <cfRule type="expression" dxfId="1118" priority="1334">
      <formula>AND($AK89&lt;&gt;"",ISBLANK($E89:$AG89))</formula>
    </cfRule>
  </conditionalFormatting>
  <conditionalFormatting sqref="O399:O414">
    <cfRule type="expression" dxfId="1117" priority="99">
      <formula>AND($AK399&lt;&gt;"",ISBLANK($E399:$AG399))</formula>
    </cfRule>
    <cfRule type="expression" dxfId="1116" priority="100">
      <formula>AND(COUNT(K399:XEM399)&lt;&gt;0,(O399)="")</formula>
    </cfRule>
  </conditionalFormatting>
  <conditionalFormatting sqref="O7:P7 O9:O23 P23">
    <cfRule type="expression" dxfId="1115" priority="1916">
      <formula>AND(COUNT(K7:XEJ7)&lt;&gt;0,(O7)="")</formula>
    </cfRule>
  </conditionalFormatting>
  <conditionalFormatting sqref="O477:P484">
    <cfRule type="cellIs" dxfId="1114" priority="17" operator="equal">
      <formula>""""""</formula>
    </cfRule>
    <cfRule type="cellIs" dxfId="1113" priority="18" operator="between">
      <formula>1.05</formula>
      <formula>1.1</formula>
    </cfRule>
    <cfRule type="containsBlanks" dxfId="1112" priority="16">
      <formula>LEN(TRIM(O477))=0</formula>
    </cfRule>
    <cfRule type="cellIs" dxfId="1111" priority="19" operator="between">
      <formula>0.9</formula>
      <formula>0.95</formula>
    </cfRule>
    <cfRule type="cellIs" dxfId="1110" priority="20" operator="lessThan">
      <formula>0.9</formula>
    </cfRule>
    <cfRule type="cellIs" dxfId="1109" priority="21" operator="greaterThan">
      <formula>1.1</formula>
    </cfRule>
    <cfRule type="cellIs" dxfId="1108" priority="22" operator="between">
      <formula>0.95</formula>
      <formula>1.05</formula>
    </cfRule>
  </conditionalFormatting>
  <conditionalFormatting sqref="P27:P29">
    <cfRule type="expression" dxfId="1107" priority="7">
      <formula>AND($AH27&lt;&gt;"",ISBLANK($E27:$AD27))</formula>
    </cfRule>
    <cfRule type="expression" dxfId="1106" priority="6">
      <formula>AND(COUNT(L27:XEK27)&lt;&gt;0,(P27)="")</formula>
    </cfRule>
  </conditionalFormatting>
  <conditionalFormatting sqref="P50">
    <cfRule type="expression" dxfId="1105" priority="1383">
      <formula>AND($AH50&lt;&gt;"",ISBLANK($E50:$AD50))</formula>
    </cfRule>
    <cfRule type="expression" dxfId="1104" priority="1382">
      <formula>AND(COUNT(L50:XEK50)&lt;&gt;0,(P50)="")</formula>
    </cfRule>
  </conditionalFormatting>
  <conditionalFormatting sqref="P96">
    <cfRule type="expression" dxfId="1103" priority="1278">
      <formula>AND(COUNT(O96:XEN96)&lt;&gt;0,(P96)="")</formula>
    </cfRule>
    <cfRule type="expression" dxfId="1102" priority="1277">
      <formula>AND($AK96&lt;&gt;"",ISBLANK($E96:$AG96))</formula>
    </cfRule>
  </conditionalFormatting>
  <conditionalFormatting sqref="P108:P110">
    <cfRule type="expression" dxfId="1101" priority="1268">
      <formula>AND(COUNT(J108:XEL108)&lt;&gt;0,(P108)="")</formula>
    </cfRule>
    <cfRule type="expression" dxfId="1100" priority="1269">
      <formula>AND($AM108&lt;&gt;"",ISBLANK($E108:$AG108))</formula>
    </cfRule>
  </conditionalFormatting>
  <conditionalFormatting sqref="P112:P130">
    <cfRule type="expression" dxfId="1099" priority="1184">
      <formula>AND(COUNT(J112:XEL112)&lt;&gt;0,(P112)="")</formula>
    </cfRule>
    <cfRule type="expression" dxfId="1098" priority="1185">
      <formula>AND($AM112&lt;&gt;"",ISBLANK($E112:$AG112))</formula>
    </cfRule>
  </conditionalFormatting>
  <conditionalFormatting sqref="P132:P150">
    <cfRule type="expression" dxfId="1097" priority="1158">
      <formula>AND(COUNT(J132:XEL132)&lt;&gt;0,(P132)="")</formula>
    </cfRule>
    <cfRule type="expression" dxfId="1096" priority="1159">
      <formula>AND($AM132&lt;&gt;"",ISBLANK($E132:$AG132))</formula>
    </cfRule>
  </conditionalFormatting>
  <conditionalFormatting sqref="P152:P170">
    <cfRule type="expression" dxfId="1095" priority="1084">
      <formula>AND($AM152&lt;&gt;"",ISBLANK($E152:$AG152))</formula>
    </cfRule>
    <cfRule type="expression" dxfId="1094" priority="1083">
      <formula>AND(COUNT(J152:XEL152)&lt;&gt;0,(P152)="")</formula>
    </cfRule>
  </conditionalFormatting>
  <conditionalFormatting sqref="P172:P191">
    <cfRule type="expression" dxfId="1093" priority="991">
      <formula>AND($AM172&lt;&gt;"",ISBLANK($E172:$AG172))</formula>
    </cfRule>
    <cfRule type="expression" dxfId="1092" priority="990">
      <formula>AND(COUNT(J172:XEL172)&lt;&gt;0,(P172)="")</formula>
    </cfRule>
  </conditionalFormatting>
  <conditionalFormatting sqref="P193:P211">
    <cfRule type="expression" dxfId="1091" priority="901">
      <formula>AND($AM193&lt;&gt;"",ISBLANK($E193:$AG193))</formula>
    </cfRule>
    <cfRule type="expression" dxfId="1090" priority="900">
      <formula>AND(COUNT(J193:XEL193)&lt;&gt;0,(P193)="")</formula>
    </cfRule>
  </conditionalFormatting>
  <conditionalFormatting sqref="P213:P231">
    <cfRule type="expression" dxfId="1089" priority="818">
      <formula>AND($AM213&lt;&gt;"",ISBLANK($E213:$AG213))</formula>
    </cfRule>
    <cfRule type="expression" dxfId="1088" priority="817">
      <formula>AND(COUNT(J213:XEL213)&lt;&gt;0,(P213)="")</formula>
    </cfRule>
  </conditionalFormatting>
  <conditionalFormatting sqref="P233:P251">
    <cfRule type="expression" dxfId="1087" priority="737">
      <formula>AND($AM233&lt;&gt;"",ISBLANK($E233:$AG233))</formula>
    </cfRule>
    <cfRule type="expression" dxfId="1086" priority="736">
      <formula>AND(COUNT(J233:XEL233)&lt;&gt;0,(P233)="")</formula>
    </cfRule>
  </conditionalFormatting>
  <conditionalFormatting sqref="P253:P271">
    <cfRule type="expression" dxfId="1085" priority="642">
      <formula>AND(COUNT(J253:XEL253)&lt;&gt;0,(P253)="")</formula>
    </cfRule>
    <cfRule type="expression" dxfId="1084" priority="643">
      <formula>AND($AM253&lt;&gt;"",ISBLANK($E253:$AG253))</formula>
    </cfRule>
  </conditionalFormatting>
  <conditionalFormatting sqref="P273:P291">
    <cfRule type="expression" dxfId="1083" priority="543">
      <formula>AND($AM273&lt;&gt;"",ISBLANK($E273:$AG273))</formula>
    </cfRule>
    <cfRule type="expression" dxfId="1082" priority="542">
      <formula>AND(COUNT(J273:XEL273)&lt;&gt;0,(P273)="")</formula>
    </cfRule>
  </conditionalFormatting>
  <conditionalFormatting sqref="P293:P311">
    <cfRule type="expression" dxfId="1081" priority="446">
      <formula>AND($AM293&lt;&gt;"",ISBLANK($E293:$AG293))</formula>
    </cfRule>
    <cfRule type="expression" dxfId="1080" priority="445">
      <formula>AND(COUNT(J293:XEL293)&lt;&gt;0,(P293)="")</formula>
    </cfRule>
  </conditionalFormatting>
  <conditionalFormatting sqref="P313:P323">
    <cfRule type="expression" dxfId="1079" priority="426">
      <formula>AND($AM313&lt;&gt;"",ISBLANK($E313:$AG313))</formula>
    </cfRule>
  </conditionalFormatting>
  <conditionalFormatting sqref="P313:P390">
    <cfRule type="expression" dxfId="1078" priority="156">
      <formula>AND(COUNT(J313:XEL313)&lt;&gt;0,(P313)="")</formula>
    </cfRule>
  </conditionalFormatting>
  <conditionalFormatting sqref="P328:P414">
    <cfRule type="expression" dxfId="1077" priority="96">
      <formula>AND($AM328&lt;&gt;"",ISBLANK($E328:$AG328))</formula>
    </cfRule>
  </conditionalFormatting>
  <conditionalFormatting sqref="P379">
    <cfRule type="expression" dxfId="1076" priority="10">
      <formula>AND($AM379&lt;&gt;"",ISBLANK($E379:$AG379))</formula>
    </cfRule>
    <cfRule type="expression" dxfId="1075" priority="11">
      <formula>AND(COUNT(J379:XEL379)&lt;&gt;0,(P379)="")</formula>
    </cfRule>
  </conditionalFormatting>
  <conditionalFormatting sqref="P399:P414">
    <cfRule type="expression" dxfId="1074" priority="95">
      <formula>AND(COUNT(J399:XEL399)&lt;&gt;0,(P399)="")</formula>
    </cfRule>
  </conditionalFormatting>
  <dataValidations count="7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9:O23 O27:O29 O36:O50 L47:L48 O55:O57 O65:O78 O83:O86 O95:O101 P96 P108:P110 P112:P113 P115:P122 P128:P130 P132:P133 P135:P142 P148:P150 P152:P153 P155:P162 P168:P170 P172:P173 P175:P182 P189:P191 P193:P194 P196:P203 P209:P211 P213:P214 P216:P223 P229:P231 P233:P234 P236:P243 P249:P251 P253:P254 P256:P263 P269:P271 P273:P274 P276:P283 P289:P291 P293:P294 P296:P303 P309:P311 P313:P314 P316:P323 P328:P330 P332:P333 P335:P342 P351:P353 P355:P356 P358:P365 P376:P381 P383:P390 O399:O414" xr:uid="{81CC2C97-5FFA-400A-9BA9-573DDEC92CC0}">
      <formula1>AND(LEN(L9)&lt;21,ISERROR(SEARCH("&amp;",L9))=TRUE,ISERROR(SEARCH(" ",L9))=TRUE,ISERROR(SEARCH("/",L9))=TRUE,ISERROR(SEARCH(";",L9))=TRUE,ISERROR(SEARCH("=",L9))=TRUE,ISERROR(SEARCH("'",L9))=TRUE)</formula1>
    </dataValidation>
    <dataValidation type="custom" allowBlank="1" showInputMessage="1" showErrorMessage="1" error="Invalid source name, please refer to the guidelines" sqref="O7:O8" xr:uid="{09DCBEB0-08D6-42B0-931E-895A11D1E4B0}">
      <formula1>AND(LEN(O5)&lt;21,ISERROR(SEARCH("&amp;",O5))=TRUE,ISERROR(SEARCH(" ",O5))=TRUE,ISERROR(SEARCH(",",O5))=TRUE,ISERROR(SEARCH(";",O5))=TRUE,ISERROR(SEARCH("=",O5))=TRUE,ISERROR(SEARCH("'",O5))=TRUE)</formula1>
    </dataValidation>
    <dataValidation type="decimal" operator="greaterThanOrEqual" allowBlank="1" showInputMessage="1" showErrorMessage="1" error="The value must be positive" sqref="G56:H57 C447:N449 C429:N444" xr:uid="{2380F013-4FAC-4992-B1F1-821D0FE1DB68}">
      <formula1>0</formula1>
    </dataValidation>
    <dataValidation type="decimal" operator="greaterThan" allowBlank="1" showInputMessage="1" showErrorMessage="1" error="The value must be positive" sqref="C450:N450" xr:uid="{9C260B82-F06F-46E6-8215-D2549F81720A}">
      <formula1>0</formula1>
    </dataValidation>
    <dataValidation type="decimal" operator="greaterThanOrEqual" allowBlank="1" showInputMessage="1" showErrorMessage="1" sqref="O479:P483 P461:P476 O462:O476 C486:N504" xr:uid="{2A1B71DB-187B-48DC-A3AD-87E663E83C2E}">
      <formula1>0</formula1>
    </dataValidation>
    <dataValidation operator="greaterThan" allowBlank="1" showInputMessage="1" showErrorMessage="1" error="The value must be positive" sqref="O477:P477" xr:uid="{BC0E4681-496A-455F-B38C-8DE05E976A00}"/>
    <dataValidation type="custom" allowBlank="1" showInputMessage="1" showErrorMessage="1" error="Invalid source name, please refer to the guidelines" sqref="O2:O6" xr:uid="{2B030C0A-ADFC-4E66-9B36-F68D1FC31143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hyperlinks>
    <hyperlink ref="P399" r:id="rId1" xr:uid="{1B9CC150-9496-4005-9A57-2E16ED5B3FFA}"/>
    <hyperlink ref="P400:P414" r:id="rId2" display="https://www.knc.ee/et/tegevusandmed" xr:uid="{3857FCD7-A04F-4FA2-A874-CE26C0309CB6}"/>
  </hyperlinks>
  <pageMargins left="0.7" right="0.7" top="0.75" bottom="0.75" header="0.3" footer="0.3"/>
  <pageSetup paperSize="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27F1-86D6-4D67-AB6E-773BD9B6D6C5}">
  <dimension ref="A1:AS219"/>
  <sheetViews>
    <sheetView topLeftCell="A13" zoomScale="70" zoomScaleNormal="70" workbookViewId="0">
      <selection activeCell="A14" sqref="A14"/>
    </sheetView>
  </sheetViews>
  <sheetFormatPr defaultRowHeight="14.4" x14ac:dyDescent="0.3"/>
  <cols>
    <col min="2" max="2" width="46.5546875" customWidth="1"/>
    <col min="3" max="3" width="10.5546875" customWidth="1"/>
    <col min="4" max="4" width="10.88671875" customWidth="1"/>
    <col min="5" max="12" width="9.109375" customWidth="1"/>
    <col min="14" max="14" width="9.6640625" bestFit="1" customWidth="1"/>
    <col min="15" max="15" width="10.88671875" customWidth="1"/>
    <col min="21" max="21" width="10.88671875" customWidth="1"/>
    <col min="22" max="23" width="11" bestFit="1" customWidth="1"/>
    <col min="24" max="24" width="10.44140625" bestFit="1" customWidth="1"/>
    <col min="25" max="25" width="10.6640625" bestFit="1" customWidth="1"/>
    <col min="26" max="27" width="10.44140625" bestFit="1" customWidth="1"/>
    <col min="28" max="29" width="11" bestFit="1" customWidth="1"/>
    <col min="30" max="30" width="13.44140625" bestFit="1" customWidth="1"/>
    <col min="31" max="33" width="10.44140625" bestFit="1" customWidth="1"/>
    <col min="38" max="38" width="11" customWidth="1"/>
  </cols>
  <sheetData>
    <row r="1" spans="2:45" x14ac:dyDescent="0.3">
      <c r="B1" s="314"/>
    </row>
    <row r="2" spans="2:45" x14ac:dyDescent="0.3">
      <c r="B2" s="314"/>
    </row>
    <row r="3" spans="2:45" x14ac:dyDescent="0.3">
      <c r="B3" s="285" t="s">
        <v>497</v>
      </c>
    </row>
    <row r="5" spans="2:45" x14ac:dyDescent="0.3">
      <c r="B5" s="273"/>
      <c r="C5" s="264" t="s">
        <v>498</v>
      </c>
      <c r="D5" s="264" t="s">
        <v>499</v>
      </c>
      <c r="E5" s="264" t="s">
        <v>500</v>
      </c>
      <c r="F5" s="264" t="s">
        <v>501</v>
      </c>
      <c r="G5" s="264" t="s">
        <v>502</v>
      </c>
      <c r="H5" s="264" t="s">
        <v>503</v>
      </c>
      <c r="I5" s="264" t="s">
        <v>504</v>
      </c>
      <c r="J5" s="264" t="s">
        <v>505</v>
      </c>
      <c r="K5" s="264" t="s">
        <v>506</v>
      </c>
      <c r="L5" s="264" t="s">
        <v>507</v>
      </c>
      <c r="M5" s="264" t="s">
        <v>508</v>
      </c>
      <c r="N5" s="264" t="s">
        <v>509</v>
      </c>
      <c r="O5" s="317" t="s">
        <v>510</v>
      </c>
      <c r="P5" s="317" t="s">
        <v>511</v>
      </c>
      <c r="Q5" s="317" t="s">
        <v>512</v>
      </c>
      <c r="R5" s="317" t="s">
        <v>513</v>
      </c>
      <c r="S5" s="317" t="s">
        <v>514</v>
      </c>
      <c r="T5" s="317" t="s">
        <v>515</v>
      </c>
      <c r="U5" s="317" t="s">
        <v>516</v>
      </c>
      <c r="V5" s="317" t="s">
        <v>517</v>
      </c>
      <c r="W5" s="317" t="s">
        <v>518</v>
      </c>
      <c r="X5" s="264" t="s">
        <v>519</v>
      </c>
      <c r="Y5" s="264" t="s">
        <v>520</v>
      </c>
      <c r="Z5" s="264" t="s">
        <v>521</v>
      </c>
      <c r="AA5" s="264" t="s">
        <v>522</v>
      </c>
      <c r="AB5" s="264" t="s">
        <v>523</v>
      </c>
      <c r="AC5" s="264" t="s">
        <v>524</v>
      </c>
      <c r="AD5" s="264" t="s">
        <v>525</v>
      </c>
      <c r="AE5" s="264" t="s">
        <v>526</v>
      </c>
      <c r="AF5" s="264" t="s">
        <v>527</v>
      </c>
      <c r="AG5" s="264" t="s">
        <v>528</v>
      </c>
      <c r="AH5" s="264" t="s">
        <v>529</v>
      </c>
      <c r="AI5" s="264" t="s">
        <v>530</v>
      </c>
      <c r="AJ5" s="264" t="s">
        <v>531</v>
      </c>
      <c r="AK5" s="264" t="s">
        <v>532</v>
      </c>
      <c r="AL5" s="264" t="s">
        <v>533</v>
      </c>
      <c r="AM5" s="264" t="s">
        <v>534</v>
      </c>
      <c r="AN5" s="264" t="s">
        <v>535</v>
      </c>
      <c r="AO5" s="264" t="s">
        <v>536</v>
      </c>
      <c r="AP5" s="264" t="s">
        <v>537</v>
      </c>
      <c r="AQ5" s="264" t="s">
        <v>538</v>
      </c>
      <c r="AR5" s="264"/>
      <c r="AS5" s="264"/>
    </row>
    <row r="6" spans="2:45" x14ac:dyDescent="0.3">
      <c r="B6" t="s">
        <v>539</v>
      </c>
      <c r="C6" s="245">
        <f>'Macroeconomy (GWh)'!C60</f>
        <v>707.48944444444442</v>
      </c>
      <c r="D6" s="245">
        <f>'Macroeconomy (GWh)'!D60</f>
        <v>696.26333333333321</v>
      </c>
      <c r="E6" s="245">
        <f>'Macroeconomy (GWh)'!E60</f>
        <v>805.4</v>
      </c>
      <c r="F6" s="245">
        <f>'Macroeconomy (GWh)'!F60</f>
        <v>758.36666666666667</v>
      </c>
      <c r="G6" s="245">
        <f>'Macroeconomy (GWh)'!G60</f>
        <v>721.37222222222215</v>
      </c>
      <c r="H6" s="245">
        <f>'Macroeconomy (GWh)'!H60</f>
        <v>804.54444444444448</v>
      </c>
      <c r="I6" s="245">
        <f>'Macroeconomy (GWh)'!I60</f>
        <v>899.88888888888869</v>
      </c>
      <c r="J6" s="245">
        <f>'Macroeconomy (GWh)'!J60</f>
        <v>649.14305555555563</v>
      </c>
      <c r="K6" s="245">
        <f>'Macroeconomy (GWh)'!K60</f>
        <v>602.76333333333343</v>
      </c>
      <c r="L6" s="245">
        <f>'Macroeconomy (GWh)'!L60</f>
        <v>742.22222222222217</v>
      </c>
      <c r="M6" s="265">
        <f>'Macroeconomy (GWh)'!M60</f>
        <v>749.44444444444446</v>
      </c>
      <c r="N6" s="245">
        <f>'Macroeconomy (GWh)'!N60</f>
        <v>430.83333333333331</v>
      </c>
      <c r="O6" s="272">
        <f>O16*O$12</f>
        <v>491.49224923261539</v>
      </c>
      <c r="P6" s="272">
        <f t="shared" ref="P6:AQ11" si="0">P16*P$12</f>
        <v>516.2909821598962</v>
      </c>
      <c r="Q6" s="272">
        <f t="shared" si="0"/>
        <v>518.79499342337169</v>
      </c>
      <c r="R6" s="272">
        <f>R16*R$12</f>
        <v>526.05034140639748</v>
      </c>
      <c r="S6" s="272">
        <f t="shared" si="0"/>
        <v>533.40715543096587</v>
      </c>
      <c r="T6" s="272">
        <f t="shared" si="0"/>
        <v>540.86685449966785</v>
      </c>
      <c r="U6" s="272">
        <f t="shared" si="0"/>
        <v>548.43087745984565</v>
      </c>
      <c r="V6" s="272">
        <f t="shared" si="0"/>
        <v>556.10068328112152</v>
      </c>
      <c r="W6" s="272">
        <f t="shared" si="0"/>
        <v>563.87775133680805</v>
      </c>
      <c r="X6" s="272">
        <f t="shared" si="0"/>
        <v>571.76358168925321</v>
      </c>
      <c r="Y6" s="272">
        <f t="shared" si="0"/>
        <v>579.75969537917729</v>
      </c>
      <c r="Z6" s="272">
        <f t="shared" si="0"/>
        <v>587.86763471905499</v>
      </c>
      <c r="AA6" s="272">
        <f t="shared" si="0"/>
        <v>596.088963590601</v>
      </c>
      <c r="AB6" s="272">
        <f t="shared" si="0"/>
        <v>604.42526774641556</v>
      </c>
      <c r="AC6" s="272">
        <f t="shared" si="0"/>
        <v>612.87815511584904</v>
      </c>
      <c r="AD6" s="272">
        <f t="shared" si="0"/>
        <v>621.44925611514418</v>
      </c>
      <c r="AE6" s="272">
        <f t="shared" si="0"/>
        <v>630.14022396191444</v>
      </c>
      <c r="AF6" s="272">
        <f t="shared" si="0"/>
        <v>637.03395801205772</v>
      </c>
      <c r="AG6" s="272">
        <f t="shared" si="0"/>
        <v>640.12357270841619</v>
      </c>
      <c r="AH6" s="272">
        <f t="shared" si="0"/>
        <v>643.22817203605189</v>
      </c>
      <c r="AI6" s="272">
        <f t="shared" si="0"/>
        <v>646.34782867042679</v>
      </c>
      <c r="AJ6" s="272">
        <f t="shared" si="0"/>
        <v>649.48261563947835</v>
      </c>
      <c r="AK6" s="272">
        <f t="shared" si="0"/>
        <v>652.63260632532979</v>
      </c>
      <c r="AL6" s="272">
        <f t="shared" si="0"/>
        <v>655.79787446600767</v>
      </c>
      <c r="AM6" s="272">
        <f t="shared" si="0"/>
        <v>657.68001436572513</v>
      </c>
      <c r="AN6" s="272">
        <f t="shared" si="0"/>
        <v>658.91645279273268</v>
      </c>
      <c r="AO6" s="272">
        <f t="shared" si="0"/>
        <v>652.84124309798358</v>
      </c>
      <c r="AP6" s="272">
        <f t="shared" si="0"/>
        <v>652.11658931814475</v>
      </c>
      <c r="AQ6" s="272">
        <f t="shared" si="0"/>
        <v>638.49387376728862</v>
      </c>
    </row>
    <row r="7" spans="2:45" x14ac:dyDescent="0.3">
      <c r="B7" t="s">
        <v>540</v>
      </c>
      <c r="C7" s="245">
        <f>'Macroeconomy (GWh)'!C64</f>
        <v>1328.6111111111111</v>
      </c>
      <c r="D7" s="245">
        <f>'Macroeconomy (GWh)'!D64</f>
        <v>1327.9106410170841</v>
      </c>
      <c r="E7" s="245">
        <f>'Macroeconomy (GWh)'!E64</f>
        <v>1382.9299623262032</v>
      </c>
      <c r="F7" s="245">
        <f>'Macroeconomy (GWh)'!F64</f>
        <v>1702.5606372159514</v>
      </c>
      <c r="G7" s="245">
        <f>'Macroeconomy (GWh)'!G64</f>
        <v>1137.1164779571598</v>
      </c>
      <c r="H7" s="245">
        <f>'Macroeconomy (GWh)'!H64</f>
        <v>1094.9564560808012</v>
      </c>
      <c r="I7" s="245">
        <f>'Macroeconomy (GWh)'!I64</f>
        <v>1239.497820025184</v>
      </c>
      <c r="J7" s="245">
        <f>'Macroeconomy (GWh)'!J64</f>
        <v>1142.3767517081258</v>
      </c>
      <c r="K7" s="245">
        <f>'Macroeconomy (GWh)'!K64</f>
        <v>1267.9943420992604</v>
      </c>
      <c r="L7" s="245">
        <f>'Macroeconomy (GWh)'!L64</f>
        <v>1156.9422678782928</v>
      </c>
      <c r="M7" s="265">
        <f>'Macroeconomy (GWh)'!M64</f>
        <v>1101.3888888888889</v>
      </c>
      <c r="N7" s="245">
        <f>'Macroeconomy (GWh)'!N64</f>
        <v>1147.2222222222222</v>
      </c>
      <c r="O7" s="272">
        <f t="shared" ref="O7:AD11" si="1">O17*O$12</f>
        <v>1176.3997069411985</v>
      </c>
      <c r="P7" s="272">
        <f t="shared" si="1"/>
        <v>1166.7061733560029</v>
      </c>
      <c r="Q7" s="272">
        <f t="shared" si="1"/>
        <v>1172.3646982967794</v>
      </c>
      <c r="R7" s="272">
        <f t="shared" si="1"/>
        <v>1178.0506670835186</v>
      </c>
      <c r="S7" s="272">
        <f t="shared" si="1"/>
        <v>1183.7642128188736</v>
      </c>
      <c r="T7" s="272">
        <f t="shared" si="1"/>
        <v>1189.505469251045</v>
      </c>
      <c r="U7" s="272">
        <f t="shared" si="1"/>
        <v>1195.2745707769125</v>
      </c>
      <c r="V7" s="272">
        <f t="shared" si="1"/>
        <v>1201.0716524451805</v>
      </c>
      <c r="W7" s="272">
        <f t="shared" si="1"/>
        <v>1206.8968499595396</v>
      </c>
      <c r="X7" s="272">
        <f t="shared" si="1"/>
        <v>1212.750299681843</v>
      </c>
      <c r="Y7" s="272">
        <f t="shared" si="1"/>
        <v>1218.6321386352997</v>
      </c>
      <c r="Z7" s="272">
        <f t="shared" si="1"/>
        <v>1224.5425045076809</v>
      </c>
      <c r="AA7" s="272">
        <f t="shared" si="1"/>
        <v>1230.481535654543</v>
      </c>
      <c r="AB7" s="272">
        <f t="shared" si="1"/>
        <v>1236.4493711024675</v>
      </c>
      <c r="AC7" s="272">
        <f t="shared" si="1"/>
        <v>1242.4461505523141</v>
      </c>
      <c r="AD7" s="272">
        <f t="shared" si="1"/>
        <v>1248.4720143824927</v>
      </c>
      <c r="AE7" s="272">
        <f t="shared" si="0"/>
        <v>1254.5271036522477</v>
      </c>
      <c r="AF7" s="272">
        <f t="shared" si="0"/>
        <v>1260.611560104961</v>
      </c>
      <c r="AG7" s="272">
        <f t="shared" si="0"/>
        <v>1266.7255261714699</v>
      </c>
      <c r="AH7" s="272">
        <f t="shared" si="0"/>
        <v>1272.8691449734015</v>
      </c>
      <c r="AI7" s="272">
        <f t="shared" si="0"/>
        <v>1279.0425603265223</v>
      </c>
      <c r="AJ7" s="272">
        <f t="shared" si="0"/>
        <v>1285.2459167441059</v>
      </c>
      <c r="AK7" s="272">
        <f t="shared" si="0"/>
        <v>1291.4793594403147</v>
      </c>
      <c r="AL7" s="272">
        <f t="shared" si="0"/>
        <v>1297.7430343336002</v>
      </c>
      <c r="AM7" s="272">
        <f t="shared" si="0"/>
        <v>1301.4675568421376</v>
      </c>
      <c r="AN7" s="272">
        <f t="shared" si="0"/>
        <v>1303.9143158490008</v>
      </c>
      <c r="AO7" s="272">
        <f t="shared" si="0"/>
        <v>1305.0747995901063</v>
      </c>
      <c r="AP7" s="272">
        <f t="shared" si="0"/>
        <v>1304.9442921101472</v>
      </c>
      <c r="AQ7" s="272">
        <f t="shared" si="0"/>
        <v>1278.9759006971553</v>
      </c>
    </row>
    <row r="8" spans="2:45" x14ac:dyDescent="0.3">
      <c r="B8" t="s">
        <v>541</v>
      </c>
      <c r="C8" s="245">
        <f>'Macroeconomy (GWh)'!C65</f>
        <v>867.22222222222217</v>
      </c>
      <c r="D8" s="245">
        <f>'Macroeconomy (GWh)'!D65</f>
        <v>1047.8879999999999</v>
      </c>
      <c r="E8" s="245">
        <f>'Macroeconomy (GWh)'!E65</f>
        <v>875</v>
      </c>
      <c r="F8" s="245">
        <f>'Macroeconomy (GWh)'!F65</f>
        <v>1460</v>
      </c>
      <c r="G8" s="245">
        <f>'Macroeconomy (GWh)'!G65</f>
        <v>1081.1111111111111</v>
      </c>
      <c r="H8" s="245">
        <f>'Macroeconomy (GWh)'!H65</f>
        <v>558.8888888888888</v>
      </c>
      <c r="I8" s="245">
        <f>'Macroeconomy (GWh)'!I65</f>
        <v>456.11111111111109</v>
      </c>
      <c r="J8" s="245">
        <f>'Macroeconomy (GWh)'!J65</f>
        <v>632.22222222222206</v>
      </c>
      <c r="K8" s="245">
        <f>'Macroeconomy (GWh)'!K65</f>
        <v>636.94444444444457</v>
      </c>
      <c r="L8" s="245">
        <f>'Macroeconomy (GWh)'!L65</f>
        <v>751.1111111111112</v>
      </c>
      <c r="M8" s="265">
        <f>'Macroeconomy (GWh)'!M65</f>
        <v>118.05555555555556</v>
      </c>
      <c r="N8" s="245">
        <f>'Macroeconomy (GWh)'!N65</f>
        <v>2.5</v>
      </c>
      <c r="O8" s="272">
        <f t="shared" si="1"/>
        <v>4.6978249999999999</v>
      </c>
      <c r="P8" s="272">
        <f t="shared" si="0"/>
        <v>4.7541988999999996</v>
      </c>
      <c r="Q8" s="272">
        <f t="shared" si="0"/>
        <v>11.098677332049999</v>
      </c>
      <c r="R8" s="272">
        <f t="shared" si="0"/>
        <v>12.244736404381246</v>
      </c>
      <c r="S8" s="272">
        <f t="shared" si="0"/>
        <v>12.428407450446965</v>
      </c>
      <c r="T8" s="272">
        <f t="shared" si="0"/>
        <v>14.128613589668106</v>
      </c>
      <c r="U8" s="272">
        <f t="shared" si="0"/>
        <v>15.364867278764066</v>
      </c>
      <c r="V8" s="272">
        <f t="shared" si="0"/>
        <v>14.555650935415823</v>
      </c>
      <c r="W8" s="272">
        <f>W18*W$12</f>
        <v>14.77398569944706</v>
      </c>
      <c r="X8" s="272">
        <f t="shared" si="0"/>
        <v>14.995595484938764</v>
      </c>
      <c r="Y8" s="272">
        <f t="shared" si="0"/>
        <v>13.589758408225753</v>
      </c>
      <c r="Z8" s="272">
        <f t="shared" si="0"/>
        <v>12.138372210227242</v>
      </c>
      <c r="AA8" s="272">
        <f t="shared" si="0"/>
        <v>11.760427439136073</v>
      </c>
      <c r="AB8" s="272">
        <f t="shared" si="0"/>
        <v>8.5263098933736536</v>
      </c>
      <c r="AC8" s="272">
        <f t="shared" si="0"/>
        <v>5.7694696945161716</v>
      </c>
      <c r="AD8" s="272">
        <f t="shared" si="0"/>
        <v>3.5136070439603477</v>
      </c>
      <c r="AE8" s="272">
        <f t="shared" si="0"/>
        <v>0</v>
      </c>
      <c r="AF8" s="272">
        <f t="shared" si="0"/>
        <v>0</v>
      </c>
      <c r="AG8" s="272">
        <f t="shared" si="0"/>
        <v>0</v>
      </c>
      <c r="AH8" s="272">
        <f t="shared" si="0"/>
        <v>0.62153574127979405</v>
      </c>
      <c r="AI8" s="272">
        <f t="shared" si="0"/>
        <v>1.8925763321969724</v>
      </c>
      <c r="AJ8" s="272">
        <f t="shared" si="0"/>
        <v>1.9209649771799271</v>
      </c>
      <c r="AK8" s="272">
        <f t="shared" si="0"/>
        <v>1.9497794518376257</v>
      </c>
      <c r="AL8" s="272">
        <f t="shared" si="0"/>
        <v>1.3193507624101268</v>
      </c>
      <c r="AM8" s="272">
        <f t="shared" si="0"/>
        <v>0</v>
      </c>
      <c r="AN8" s="272">
        <f t="shared" si="0"/>
        <v>0</v>
      </c>
      <c r="AO8" s="272">
        <f t="shared" si="0"/>
        <v>0</v>
      </c>
      <c r="AP8" s="272">
        <f t="shared" si="0"/>
        <v>0</v>
      </c>
      <c r="AQ8" s="272">
        <f t="shared" si="0"/>
        <v>0</v>
      </c>
    </row>
    <row r="9" spans="2:45" x14ac:dyDescent="0.3">
      <c r="B9" t="s">
        <v>542</v>
      </c>
      <c r="C9" s="245">
        <f>'Macroeconomy (GWh)'!C72</f>
        <v>1213.8888888888889</v>
      </c>
      <c r="D9" s="245">
        <f>'Macroeconomy (GWh)'!D72</f>
        <v>1272.7777777777778</v>
      </c>
      <c r="E9" s="245">
        <f>'Macroeconomy (GWh)'!E72</f>
        <v>888.88888888888891</v>
      </c>
      <c r="F9" s="245">
        <f>'Macroeconomy (GWh)'!F72</f>
        <v>980.27777777777771</v>
      </c>
      <c r="G9" s="245">
        <f>'Macroeconomy (GWh)'!G72</f>
        <v>1037.5</v>
      </c>
      <c r="H9" s="245">
        <f>'Macroeconomy (GWh)'!H72</f>
        <v>1269.4444444444443</v>
      </c>
      <c r="I9" s="245">
        <f>'Macroeconomy (GWh)'!I72</f>
        <v>137.7777777777778</v>
      </c>
      <c r="J9" s="245">
        <f>'Macroeconomy (GWh)'!J72</f>
        <v>281.11111111111109</v>
      </c>
      <c r="K9" s="245">
        <f>'Macroeconomy (GWh)'!K72</f>
        <v>389.72222222222217</v>
      </c>
      <c r="L9" s="245">
        <f>'Macroeconomy (GWh)'!L72</f>
        <v>170</v>
      </c>
      <c r="M9" s="265">
        <f>'Macroeconomy (GWh)'!M72</f>
        <v>217.5</v>
      </c>
      <c r="N9" s="245">
        <f>'Macroeconomy (GWh)'!N72</f>
        <v>130.83333333333334</v>
      </c>
      <c r="O9" s="272">
        <f t="shared" si="1"/>
        <v>153.72596049390518</v>
      </c>
      <c r="P9" s="272">
        <f t="shared" si="0"/>
        <v>171.12773922181523</v>
      </c>
      <c r="Q9" s="272">
        <f t="shared" si="0"/>
        <v>182.37938807564959</v>
      </c>
      <c r="R9" s="272">
        <f t="shared" si="0"/>
        <v>188.81738047472001</v>
      </c>
      <c r="S9" s="272">
        <f t="shared" si="0"/>
        <v>195.48263400547759</v>
      </c>
      <c r="T9" s="272">
        <f t="shared" si="0"/>
        <v>202.38317098587095</v>
      </c>
      <c r="U9" s="272">
        <f t="shared" si="0"/>
        <v>209.52729692167219</v>
      </c>
      <c r="V9" s="272">
        <f t="shared" si="0"/>
        <v>216.92361050300718</v>
      </c>
      <c r="W9" s="272">
        <f t="shared" si="0"/>
        <v>224.58101395376335</v>
      </c>
      <c r="X9" s="272">
        <f t="shared" si="0"/>
        <v>232.50872374633116</v>
      </c>
      <c r="Y9" s="272">
        <f t="shared" si="0"/>
        <v>240.71628169457659</v>
      </c>
      <c r="Z9" s="272">
        <f t="shared" si="0"/>
        <v>249.21356643839513</v>
      </c>
      <c r="AA9" s="272">
        <f t="shared" si="0"/>
        <v>258.01080533367048</v>
      </c>
      <c r="AB9" s="272">
        <f t="shared" si="0"/>
        <v>267.11858676194902</v>
      </c>
      <c r="AC9" s="272">
        <f t="shared" si="0"/>
        <v>276.54787287464575</v>
      </c>
      <c r="AD9" s="272">
        <f t="shared" si="0"/>
        <v>286.31001278712074</v>
      </c>
      <c r="AE9" s="272">
        <f t="shared" si="0"/>
        <v>296.41675623850608</v>
      </c>
      <c r="AF9" s="272">
        <f t="shared" si="0"/>
        <v>306.8802677337253</v>
      </c>
      <c r="AG9" s="272">
        <f t="shared" si="0"/>
        <v>317.71314118472577</v>
      </c>
      <c r="AH9" s="272">
        <f t="shared" si="0"/>
        <v>328.9284150685466</v>
      </c>
      <c r="AI9" s="272">
        <f t="shared" si="0"/>
        <v>340.53958812046631</v>
      </c>
      <c r="AJ9" s="272">
        <f t="shared" si="0"/>
        <v>352.56063558111873</v>
      </c>
      <c r="AK9" s="272">
        <f t="shared" si="0"/>
        <v>365.00602601713223</v>
      </c>
      <c r="AL9" s="272">
        <f>AL19*AL$12</f>
        <v>377.89073873553696</v>
      </c>
      <c r="AM9" s="272">
        <f t="shared" si="0"/>
        <v>390.45938470588089</v>
      </c>
      <c r="AN9" s="272">
        <f t="shared" si="0"/>
        <v>403.0477952687985</v>
      </c>
      <c r="AO9" s="272">
        <f t="shared" si="0"/>
        <v>415.63094743709036</v>
      </c>
      <c r="AP9" s="272">
        <f t="shared" si="0"/>
        <v>428.18300204969051</v>
      </c>
      <c r="AQ9" s="272">
        <f t="shared" si="0"/>
        <v>432.37919546977753</v>
      </c>
    </row>
    <row r="10" spans="2:45" x14ac:dyDescent="0.3">
      <c r="B10" s="273" t="s">
        <v>543</v>
      </c>
      <c r="C10" s="245">
        <f>'Macroeconomy (GWh)'!C71</f>
        <v>506.38888888888886</v>
      </c>
      <c r="D10" s="245">
        <f>'Macroeconomy (GWh)'!D71</f>
        <v>430.55555555555554</v>
      </c>
      <c r="E10" s="245">
        <f>'Macroeconomy (GWh)'!E71</f>
        <v>416.66666666666674</v>
      </c>
      <c r="F10" s="245">
        <f>'Macroeconomy (GWh)'!F71</f>
        <v>382.77777777777771</v>
      </c>
      <c r="G10" s="245">
        <f>'Macroeconomy (GWh)'!G71</f>
        <v>370</v>
      </c>
      <c r="H10" s="245">
        <f>'Macroeconomy (GWh)'!H71</f>
        <v>433.61111111111109</v>
      </c>
      <c r="I10" s="245">
        <f>'Macroeconomy (GWh)'!I71</f>
        <v>439.44444444444446</v>
      </c>
      <c r="J10" s="245">
        <f>'Macroeconomy (GWh)'!J71</f>
        <v>430.55555555555554</v>
      </c>
      <c r="K10" s="245">
        <f>'Macroeconomy (GWh)'!K71</f>
        <v>415.83333333333326</v>
      </c>
      <c r="L10" s="245">
        <f>'Macroeconomy (GWh)'!L71</f>
        <v>389.16666666666663</v>
      </c>
      <c r="M10" s="265">
        <f>'Macroeconomy (GWh)'!M71</f>
        <v>430</v>
      </c>
      <c r="N10" s="245">
        <f>'Macroeconomy (GWh)'!N71</f>
        <v>476.83000000000004</v>
      </c>
      <c r="O10" s="272">
        <f>O20*O$12</f>
        <v>499.14390328289016</v>
      </c>
      <c r="P10" s="272">
        <f t="shared" si="0"/>
        <v>489.97962121861627</v>
      </c>
      <c r="Q10" s="272">
        <f t="shared" si="0"/>
        <v>487.38272922615761</v>
      </c>
      <c r="R10" s="272">
        <f>R20*R$12</f>
        <v>489.74653546290438</v>
      </c>
      <c r="S10" s="272">
        <f t="shared" si="0"/>
        <v>492.12180615989939</v>
      </c>
      <c r="T10" s="272">
        <f t="shared" si="0"/>
        <v>494.5085969197749</v>
      </c>
      <c r="U10" s="272">
        <f t="shared" si="0"/>
        <v>496.90696361483577</v>
      </c>
      <c r="V10" s="272">
        <f t="shared" si="0"/>
        <v>499.3169623883677</v>
      </c>
      <c r="W10" s="272">
        <f t="shared" si="0"/>
        <v>501.73864965595129</v>
      </c>
      <c r="X10" s="272">
        <f t="shared" si="0"/>
        <v>504.17208210678251</v>
      </c>
      <c r="Y10" s="272">
        <f t="shared" si="0"/>
        <v>506.61731670500035</v>
      </c>
      <c r="Z10" s="272">
        <f t="shared" si="0"/>
        <v>509.07441069101958</v>
      </c>
      <c r="AA10" s="272">
        <f t="shared" si="0"/>
        <v>511.54342158287102</v>
      </c>
      <c r="AB10" s="272">
        <f t="shared" si="0"/>
        <v>514.02440717754791</v>
      </c>
      <c r="AC10" s="272">
        <f t="shared" si="0"/>
        <v>516.51742555235899</v>
      </c>
      <c r="AD10" s="272">
        <f t="shared" si="0"/>
        <v>519.0225350662879</v>
      </c>
      <c r="AE10" s="272">
        <f t="shared" si="0"/>
        <v>521.53979436135933</v>
      </c>
      <c r="AF10" s="272">
        <f t="shared" si="0"/>
        <v>524.06926236401182</v>
      </c>
      <c r="AG10" s="272">
        <f t="shared" si="0"/>
        <v>526.61099828647718</v>
      </c>
      <c r="AH10" s="272">
        <f t="shared" si="0"/>
        <v>529.16506162816654</v>
      </c>
      <c r="AI10" s="272">
        <f t="shared" si="0"/>
        <v>531.73151217706322</v>
      </c>
      <c r="AJ10" s="272">
        <f t="shared" si="0"/>
        <v>534.31041001112192</v>
      </c>
      <c r="AK10" s="272">
        <f t="shared" si="0"/>
        <v>536.90181549967588</v>
      </c>
      <c r="AL10" s="339">
        <f t="shared" si="0"/>
        <v>539.50578930484926</v>
      </c>
      <c r="AM10" s="272">
        <f t="shared" si="0"/>
        <v>541.05417092015409</v>
      </c>
      <c r="AN10" s="272">
        <f t="shared" si="0"/>
        <v>542.07135276148392</v>
      </c>
      <c r="AO10" s="272">
        <f t="shared" si="0"/>
        <v>542.55379626544163</v>
      </c>
      <c r="AP10" s="272">
        <f t="shared" si="0"/>
        <v>542.49954088581501</v>
      </c>
      <c r="AQ10" s="339">
        <f t="shared" si="0"/>
        <v>531.70380002218735</v>
      </c>
    </row>
    <row r="11" spans="2:45" x14ac:dyDescent="0.3">
      <c r="B11" s="273" t="s">
        <v>544</v>
      </c>
      <c r="C11" s="245">
        <f>'Macroeconomy (GWh)'!C70</f>
        <v>2095</v>
      </c>
      <c r="D11" s="245">
        <f>'Macroeconomy (GWh)'!D70</f>
        <v>2046</v>
      </c>
      <c r="E11" s="245">
        <f>'Macroeconomy (GWh)'!E70</f>
        <v>2187</v>
      </c>
      <c r="F11" s="245">
        <f>'Macroeconomy (GWh)'!F70</f>
        <v>2156</v>
      </c>
      <c r="G11" s="245">
        <f>'Macroeconomy (GWh)'!G70</f>
        <v>2117</v>
      </c>
      <c r="H11" s="245">
        <f>'Macroeconomy (GWh)'!H70</f>
        <v>2059</v>
      </c>
      <c r="I11" s="245">
        <f>'Macroeconomy (GWh)'!I70</f>
        <v>2151.9999999999995</v>
      </c>
      <c r="J11" s="245">
        <f>'Macroeconomy (GWh)'!J70</f>
        <v>2281.1111111111109</v>
      </c>
      <c r="K11" s="245">
        <f>'Macroeconomy (GWh)'!K70</f>
        <v>2360.89</v>
      </c>
      <c r="L11" s="245">
        <f>'Macroeconomy (GWh)'!L70</f>
        <v>2131.9</v>
      </c>
      <c r="M11" s="265">
        <f>'Macroeconomy (GWh)'!M70</f>
        <v>2128.8888888888887</v>
      </c>
      <c r="N11" s="245">
        <f>'Macroeconomy (GWh)'!N70</f>
        <v>2209.7222222222222</v>
      </c>
      <c r="O11" s="272">
        <f t="shared" si="1"/>
        <v>2372.1375522247827</v>
      </c>
      <c r="P11" s="272">
        <f t="shared" si="0"/>
        <v>2405.404409257183</v>
      </c>
      <c r="Q11" s="272">
        <f t="shared" si="0"/>
        <v>2453.6929027730212</v>
      </c>
      <c r="R11" s="272">
        <f t="shared" si="0"/>
        <v>2502.9507877961887</v>
      </c>
      <c r="S11" s="272">
        <f t="shared" si="0"/>
        <v>2553.1975248611966</v>
      </c>
      <c r="T11" s="272">
        <f t="shared" si="0"/>
        <v>2604.4529651727844</v>
      </c>
      <c r="U11" s="272">
        <f t="shared" si="0"/>
        <v>2656.7373584486272</v>
      </c>
      <c r="V11" s="272">
        <f t="shared" si="0"/>
        <v>2710.0713609194831</v>
      </c>
      <c r="W11" s="272">
        <f t="shared" si="0"/>
        <v>2764.4760434899413</v>
      </c>
      <c r="X11" s="272">
        <f t="shared" si="0"/>
        <v>2819.9729000630014</v>
      </c>
      <c r="Y11" s="272">
        <f t="shared" si="0"/>
        <v>2876.5838560317652</v>
      </c>
      <c r="Z11" s="272">
        <f t="shared" si="0"/>
        <v>2934.3312769416025</v>
      </c>
      <c r="AA11" s="272">
        <f t="shared" si="0"/>
        <v>2993.2379773262046</v>
      </c>
      <c r="AB11" s="272">
        <f t="shared" si="0"/>
        <v>3053.3272297210278</v>
      </c>
      <c r="AC11" s="272">
        <f t="shared" si="0"/>
        <v>3114.6227738576763</v>
      </c>
      <c r="AD11" s="272">
        <f t="shared" si="0"/>
        <v>3177.1488260428687</v>
      </c>
      <c r="AE11" s="272">
        <f t="shared" si="0"/>
        <v>3240.9300887256786</v>
      </c>
      <c r="AF11" s="272">
        <f t="shared" si="0"/>
        <v>3305.9917602568462</v>
      </c>
      <c r="AG11" s="272">
        <f t="shared" si="0"/>
        <v>3372.3595448440014</v>
      </c>
      <c r="AH11" s="272">
        <f t="shared" si="0"/>
        <v>3440.0596627067443</v>
      </c>
      <c r="AI11" s="272">
        <f t="shared" si="0"/>
        <v>3509.1188604355816</v>
      </c>
      <c r="AJ11" s="272">
        <f t="shared" si="0"/>
        <v>3579.564421558825</v>
      </c>
      <c r="AK11" s="272">
        <f t="shared" si="0"/>
        <v>3651.4241773216181</v>
      </c>
      <c r="AL11" s="272">
        <f t="shared" si="0"/>
        <v>3724.7265176813494</v>
      </c>
      <c r="AM11" s="272">
        <f t="shared" si="0"/>
        <v>3792.013702223262</v>
      </c>
      <c r="AN11" s="272">
        <f t="shared" si="0"/>
        <v>3856.7054559831904</v>
      </c>
      <c r="AO11" s="272">
        <f t="shared" si="0"/>
        <v>3918.6248620789997</v>
      </c>
      <c r="AP11" s="272">
        <f t="shared" si="0"/>
        <v>3977.6001662532885</v>
      </c>
      <c r="AQ11" s="272">
        <f t="shared" si="0"/>
        <v>3957.5132854137091</v>
      </c>
    </row>
    <row r="12" spans="2:45" x14ac:dyDescent="0.3">
      <c r="B12" s="273" t="s">
        <v>545</v>
      </c>
      <c r="C12" s="248">
        <f>'Macroeconomy (GWh)'!C73</f>
        <v>6718.6111111111122</v>
      </c>
      <c r="D12" s="248">
        <f>'Macroeconomy (GWh)'!D73</f>
        <v>6816.1111111111113</v>
      </c>
      <c r="E12" s="248">
        <f>'Macroeconomy (GWh)'!E73</f>
        <v>6560.2777777777774</v>
      </c>
      <c r="F12" s="248">
        <f>'Macroeconomy (GWh)'!F73</f>
        <v>7438.6111111111113</v>
      </c>
      <c r="G12" s="248">
        <f>'Macroeconomy (GWh)'!G73</f>
        <v>6464.4444444444443</v>
      </c>
      <c r="H12" s="248">
        <f>'Macroeconomy (GWh)'!H73</f>
        <v>6222.2222222222217</v>
      </c>
      <c r="I12" s="248">
        <f>'Macroeconomy (GWh)'!I73</f>
        <v>5324.166666666667</v>
      </c>
      <c r="J12" s="248">
        <f>'Macroeconomy (GWh)'!J73</f>
        <v>5416.9444444444443</v>
      </c>
      <c r="K12" s="248">
        <f>'Macroeconomy (GWh)'!K73</f>
        <v>5673.6111111111104</v>
      </c>
      <c r="L12" s="248">
        <f>'Macroeconomy (GWh)'!L73</f>
        <v>5341.3888888888887</v>
      </c>
      <c r="M12" s="327">
        <f>'Macroeconomy (GWh)'!M73</f>
        <v>4745.2777777777774</v>
      </c>
      <c r="N12" s="248">
        <f>'Macroeconomy (GWh)'!N73</f>
        <v>4398.0555555555557</v>
      </c>
      <c r="O12" s="318">
        <f>M12*0.99</f>
        <v>4697.8249999999998</v>
      </c>
      <c r="P12" s="318">
        <f>O12*1.012</f>
        <v>4754.1988999999994</v>
      </c>
      <c r="Q12" s="318">
        <f>P12*1.015</f>
        <v>4825.5118834999994</v>
      </c>
      <c r="R12" s="318">
        <f t="shared" ref="R12:AL12" si="2">Q12*1.015</f>
        <v>4897.8945617524987</v>
      </c>
      <c r="S12" s="318">
        <f t="shared" si="2"/>
        <v>4971.3629801787856</v>
      </c>
      <c r="T12" s="318">
        <f t="shared" si="2"/>
        <v>5045.9334248814666</v>
      </c>
      <c r="U12" s="318">
        <f t="shared" si="2"/>
        <v>5121.6224262546884</v>
      </c>
      <c r="V12" s="318">
        <f t="shared" si="2"/>
        <v>5198.4467626485084</v>
      </c>
      <c r="W12" s="318">
        <f t="shared" si="2"/>
        <v>5276.423464088236</v>
      </c>
      <c r="X12" s="318">
        <f t="shared" si="2"/>
        <v>5355.5698160495585</v>
      </c>
      <c r="Y12" s="318">
        <f t="shared" si="2"/>
        <v>5435.9033632903011</v>
      </c>
      <c r="Z12" s="318">
        <f t="shared" si="2"/>
        <v>5517.4419137396553</v>
      </c>
      <c r="AA12" s="318">
        <f t="shared" si="2"/>
        <v>5600.2035424457499</v>
      </c>
      <c r="AB12" s="318">
        <f t="shared" si="2"/>
        <v>5684.2065955824355</v>
      </c>
      <c r="AC12" s="318">
        <f t="shared" si="2"/>
        <v>5769.4696945161713</v>
      </c>
      <c r="AD12" s="318">
        <f t="shared" si="2"/>
        <v>5856.0117399339133</v>
      </c>
      <c r="AE12" s="318">
        <f t="shared" si="2"/>
        <v>5943.8519160329215</v>
      </c>
      <c r="AF12" s="318">
        <f t="shared" si="2"/>
        <v>6033.0096947734146</v>
      </c>
      <c r="AG12" s="318">
        <f t="shared" si="2"/>
        <v>6123.5048401950153</v>
      </c>
      <c r="AH12" s="318">
        <f t="shared" si="2"/>
        <v>6215.35741279794</v>
      </c>
      <c r="AI12" s="318">
        <f t="shared" si="2"/>
        <v>6308.5877739899088</v>
      </c>
      <c r="AJ12" s="318">
        <f t="shared" si="2"/>
        <v>6403.2165905997572</v>
      </c>
      <c r="AK12" s="318">
        <f t="shared" si="2"/>
        <v>6499.2648394587532</v>
      </c>
      <c r="AL12" s="318">
        <f t="shared" si="2"/>
        <v>6596.7538120506342</v>
      </c>
      <c r="AM12" s="318">
        <f>AL12*1.013</f>
        <v>6682.5116116072923</v>
      </c>
      <c r="AN12" s="318">
        <f>AM12*1.012</f>
        <v>6762.7017509465795</v>
      </c>
      <c r="AO12" s="318">
        <f>AN12*1.011</f>
        <v>6837.0914702069913</v>
      </c>
      <c r="AP12" s="318">
        <f>AO12*1.01</f>
        <v>6905.4623849090613</v>
      </c>
      <c r="AQ12" s="318">
        <f>AP12*0.99</f>
        <v>6836.4077610599707</v>
      </c>
    </row>
    <row r="13" spans="2:45" x14ac:dyDescent="0.3">
      <c r="B13" s="273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412">
        <f t="shared" ref="M13:AQ13" si="3">SUM(M6:M11)</f>
        <v>4745.2777777777774</v>
      </c>
      <c r="N13" s="412">
        <f t="shared" si="3"/>
        <v>4397.9411111111112</v>
      </c>
      <c r="O13" s="412">
        <f t="shared" si="3"/>
        <v>4697.5971971753916</v>
      </c>
      <c r="P13" s="412">
        <f t="shared" si="3"/>
        <v>4754.2631241135132</v>
      </c>
      <c r="Q13" s="412">
        <f t="shared" si="3"/>
        <v>4825.7133891270296</v>
      </c>
      <c r="R13" s="412">
        <f t="shared" si="3"/>
        <v>4897.860448628111</v>
      </c>
      <c r="S13" s="412">
        <f t="shared" si="3"/>
        <v>4970.4017407268602</v>
      </c>
      <c r="T13" s="412">
        <f t="shared" si="3"/>
        <v>5045.8456704188111</v>
      </c>
      <c r="U13" s="412">
        <f t="shared" si="3"/>
        <v>5122.2419345006565</v>
      </c>
      <c r="V13" s="412">
        <f t="shared" si="3"/>
        <v>5198.0399204725763</v>
      </c>
      <c r="W13" s="412">
        <f t="shared" si="3"/>
        <v>5276.3442940954501</v>
      </c>
      <c r="X13" s="412">
        <f t="shared" si="3"/>
        <v>5356.1631827721503</v>
      </c>
      <c r="Y13" s="412">
        <f t="shared" si="3"/>
        <v>5435.8990468540451</v>
      </c>
      <c r="Z13" s="412">
        <f t="shared" si="3"/>
        <v>5517.1677655079802</v>
      </c>
      <c r="AA13" s="412">
        <f t="shared" si="3"/>
        <v>5601.1231309270261</v>
      </c>
      <c r="AB13" s="412">
        <f t="shared" si="3"/>
        <v>5683.8711724027817</v>
      </c>
      <c r="AC13" s="412">
        <f t="shared" si="3"/>
        <v>5768.7818476473603</v>
      </c>
      <c r="AD13" s="412">
        <f t="shared" si="3"/>
        <v>5855.9162514378741</v>
      </c>
      <c r="AE13" s="412">
        <f t="shared" si="3"/>
        <v>5943.5539669397058</v>
      </c>
      <c r="AF13" s="412">
        <f t="shared" si="3"/>
        <v>6034.5868084716021</v>
      </c>
      <c r="AG13" s="412">
        <f t="shared" si="3"/>
        <v>6123.5327831950908</v>
      </c>
      <c r="AH13" s="412">
        <f t="shared" si="3"/>
        <v>6214.8719921541906</v>
      </c>
      <c r="AI13" s="412">
        <f t="shared" si="3"/>
        <v>6308.6729260622578</v>
      </c>
      <c r="AJ13" s="412">
        <f t="shared" si="3"/>
        <v>6403.0849645118296</v>
      </c>
      <c r="AK13" s="412">
        <f t="shared" si="3"/>
        <v>6499.3937640559088</v>
      </c>
      <c r="AL13" s="412">
        <f t="shared" si="3"/>
        <v>6596.983305283753</v>
      </c>
      <c r="AM13" s="412">
        <f t="shared" si="3"/>
        <v>6682.6748290571595</v>
      </c>
      <c r="AN13" s="412">
        <f t="shared" si="3"/>
        <v>6764.6553726552065</v>
      </c>
      <c r="AO13" s="412">
        <f t="shared" si="3"/>
        <v>6834.7256484696218</v>
      </c>
      <c r="AP13" s="412">
        <f t="shared" si="3"/>
        <v>6905.3435906170853</v>
      </c>
      <c r="AQ13" s="412">
        <f t="shared" si="3"/>
        <v>6839.0660553701182</v>
      </c>
    </row>
    <row r="14" spans="2:45" x14ac:dyDescent="0.3">
      <c r="B14" s="314" t="s">
        <v>546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P14" s="284">
        <v>1.2</v>
      </c>
      <c r="Q14" s="284">
        <v>1.5</v>
      </c>
      <c r="R14" s="284">
        <v>1.5</v>
      </c>
      <c r="S14" s="284">
        <v>1.5</v>
      </c>
      <c r="T14" s="284">
        <v>1.5</v>
      </c>
      <c r="U14" s="284">
        <v>1.5</v>
      </c>
      <c r="V14" s="284">
        <v>1.5</v>
      </c>
      <c r="W14" s="284">
        <v>1.5</v>
      </c>
      <c r="X14" s="284">
        <v>1.5</v>
      </c>
      <c r="Y14" s="284">
        <v>1.5</v>
      </c>
      <c r="Z14" s="284">
        <v>1.5</v>
      </c>
      <c r="AA14" s="284">
        <v>1.5</v>
      </c>
      <c r="AB14" s="284">
        <v>1.5</v>
      </c>
      <c r="AC14" s="284">
        <v>1.5</v>
      </c>
      <c r="AD14" s="284">
        <v>1.5</v>
      </c>
      <c r="AE14" s="284">
        <v>1.5</v>
      </c>
      <c r="AF14" s="284">
        <v>1.5</v>
      </c>
      <c r="AG14" s="284">
        <v>1.5</v>
      </c>
      <c r="AH14" s="284">
        <v>1.5</v>
      </c>
      <c r="AI14" s="284">
        <v>1.5</v>
      </c>
      <c r="AJ14" s="284">
        <v>1.5</v>
      </c>
      <c r="AK14" s="284">
        <v>1.5</v>
      </c>
      <c r="AL14" s="284">
        <v>1.5</v>
      </c>
      <c r="AM14" s="284">
        <v>1.5</v>
      </c>
      <c r="AN14" s="284">
        <v>1.5</v>
      </c>
      <c r="AO14" s="284">
        <v>1.5</v>
      </c>
      <c r="AP14" s="284">
        <v>1.5</v>
      </c>
      <c r="AQ14" s="284">
        <v>1.5</v>
      </c>
    </row>
    <row r="15" spans="2:45" x14ac:dyDescent="0.3">
      <c r="B15" s="273"/>
      <c r="C15" s="264" t="s">
        <v>498</v>
      </c>
      <c r="D15" s="264" t="s">
        <v>499</v>
      </c>
      <c r="E15" s="264" t="s">
        <v>500</v>
      </c>
      <c r="F15" s="264" t="s">
        <v>501</v>
      </c>
      <c r="G15" s="264" t="s">
        <v>502</v>
      </c>
      <c r="H15" s="264" t="s">
        <v>503</v>
      </c>
      <c r="I15" s="264" t="s">
        <v>504</v>
      </c>
      <c r="J15" s="264" t="s">
        <v>505</v>
      </c>
      <c r="K15" s="264" t="s">
        <v>506</v>
      </c>
      <c r="L15" s="264" t="s">
        <v>507</v>
      </c>
      <c r="M15" s="264" t="s">
        <v>508</v>
      </c>
      <c r="N15" s="264" t="s">
        <v>509</v>
      </c>
      <c r="O15" s="264" t="s">
        <v>510</v>
      </c>
      <c r="P15" s="264" t="s">
        <v>511</v>
      </c>
      <c r="Q15" s="264" t="s">
        <v>512</v>
      </c>
      <c r="R15" s="320" t="s">
        <v>513</v>
      </c>
      <c r="S15" s="264" t="s">
        <v>514</v>
      </c>
      <c r="T15" s="264" t="s">
        <v>515</v>
      </c>
      <c r="U15" s="264" t="s">
        <v>516</v>
      </c>
      <c r="V15" s="264" t="s">
        <v>517</v>
      </c>
      <c r="W15" s="320" t="s">
        <v>518</v>
      </c>
      <c r="X15" s="264" t="s">
        <v>519</v>
      </c>
      <c r="Y15" s="264" t="s">
        <v>520</v>
      </c>
      <c r="Z15" s="264" t="s">
        <v>521</v>
      </c>
      <c r="AA15" s="264" t="s">
        <v>522</v>
      </c>
      <c r="AB15" s="320" t="s">
        <v>523</v>
      </c>
      <c r="AC15" s="264" t="s">
        <v>524</v>
      </c>
      <c r="AD15" s="264" t="s">
        <v>525</v>
      </c>
      <c r="AE15" s="264" t="s">
        <v>526</v>
      </c>
      <c r="AF15" s="264" t="s">
        <v>527</v>
      </c>
      <c r="AG15" s="320" t="s">
        <v>528</v>
      </c>
      <c r="AH15" s="264" t="s">
        <v>529</v>
      </c>
      <c r="AI15" s="264" t="s">
        <v>530</v>
      </c>
      <c r="AJ15" s="264" t="s">
        <v>531</v>
      </c>
      <c r="AK15" s="264" t="s">
        <v>532</v>
      </c>
      <c r="AL15" s="320" t="s">
        <v>533</v>
      </c>
      <c r="AM15" s="264" t="s">
        <v>534</v>
      </c>
      <c r="AN15" s="264" t="s">
        <v>535</v>
      </c>
      <c r="AO15" s="264" t="s">
        <v>536</v>
      </c>
      <c r="AP15" s="264" t="s">
        <v>537</v>
      </c>
      <c r="AQ15" s="320" t="s">
        <v>538</v>
      </c>
    </row>
    <row r="16" spans="2:45" x14ac:dyDescent="0.3">
      <c r="B16" t="s">
        <v>539</v>
      </c>
      <c r="C16" s="315">
        <f>C6/C$12</f>
        <v>0.10530293132674574</v>
      </c>
      <c r="D16" s="315">
        <f t="shared" ref="D16:L16" si="4">D6/D$12</f>
        <v>0.10214964544787675</v>
      </c>
      <c r="E16" s="315">
        <f t="shared" si="4"/>
        <v>0.12276919168395647</v>
      </c>
      <c r="F16" s="315">
        <f t="shared" si="4"/>
        <v>0.10195003547555921</v>
      </c>
      <c r="G16" s="315">
        <f t="shared" si="4"/>
        <v>0.11159075283602611</v>
      </c>
      <c r="H16" s="315">
        <f t="shared" si="4"/>
        <v>0.12930178571428574</v>
      </c>
      <c r="I16" s="315">
        <f t="shared" si="4"/>
        <v>0.1690196692231439</v>
      </c>
      <c r="J16" s="315">
        <f t="shared" si="4"/>
        <v>0.11983564945387418</v>
      </c>
      <c r="K16" s="315">
        <f t="shared" si="4"/>
        <v>0.10623980416156674</v>
      </c>
      <c r="L16" s="315">
        <f t="shared" si="4"/>
        <v>0.13895678402413023</v>
      </c>
      <c r="M16" s="321">
        <f>M6/M$12</f>
        <v>0.15793478897149213</v>
      </c>
      <c r="N16" s="315">
        <f>N6/N$12</f>
        <v>9.79599570517274E-2</v>
      </c>
      <c r="O16" s="313">
        <f>N16*1.068</f>
        <v>0.10462123413124487</v>
      </c>
      <c r="P16" s="313">
        <f>O16*1.038</f>
        <v>0.10859684102823218</v>
      </c>
      <c r="Q16" s="313">
        <f>P16*0.99</f>
        <v>0.10751087261794985</v>
      </c>
      <c r="R16" s="410">
        <f t="shared" ref="R16:AE16" si="5">Q16*0.999</f>
        <v>0.1074033617453319</v>
      </c>
      <c r="S16" s="410">
        <f t="shared" si="5"/>
        <v>0.10729595838358656</v>
      </c>
      <c r="T16" s="410">
        <f t="shared" si="5"/>
        <v>0.10718866242520297</v>
      </c>
      <c r="U16" s="410">
        <f t="shared" si="5"/>
        <v>0.10708147376277777</v>
      </c>
      <c r="V16" s="410">
        <f t="shared" si="5"/>
        <v>0.10697439228901499</v>
      </c>
      <c r="W16" s="410">
        <f t="shared" si="5"/>
        <v>0.10686741789672598</v>
      </c>
      <c r="X16" s="410">
        <f t="shared" si="5"/>
        <v>0.10676055047882925</v>
      </c>
      <c r="Y16" s="410">
        <f t="shared" si="5"/>
        <v>0.10665378992835042</v>
      </c>
      <c r="Z16" s="410">
        <f t="shared" si="5"/>
        <v>0.10654713613842207</v>
      </c>
      <c r="AA16" s="410">
        <f t="shared" si="5"/>
        <v>0.10644058900228365</v>
      </c>
      <c r="AB16" s="410">
        <f t="shared" si="5"/>
        <v>0.10633414841328137</v>
      </c>
      <c r="AC16" s="410">
        <f t="shared" si="5"/>
        <v>0.10622781426486809</v>
      </c>
      <c r="AD16" s="410">
        <f t="shared" si="5"/>
        <v>0.10612158645060323</v>
      </c>
      <c r="AE16" s="410">
        <f t="shared" si="5"/>
        <v>0.10601546486415263</v>
      </c>
      <c r="AF16" s="410">
        <f>AE16*0.996</f>
        <v>0.10559140300469602</v>
      </c>
      <c r="AG16" s="410">
        <f t="shared" ref="AG16:AN17" si="6">AF16*0.99</f>
        <v>0.10453548897464907</v>
      </c>
      <c r="AH16" s="410">
        <f t="shared" si="6"/>
        <v>0.10349013408490257</v>
      </c>
      <c r="AI16" s="410">
        <f t="shared" si="6"/>
        <v>0.10245523274405355</v>
      </c>
      <c r="AJ16" s="410">
        <f t="shared" si="6"/>
        <v>0.10143068041661302</v>
      </c>
      <c r="AK16" s="410">
        <f t="shared" si="6"/>
        <v>0.10041637361244689</v>
      </c>
      <c r="AL16" s="410">
        <f t="shared" si="6"/>
        <v>9.9412209876322419E-2</v>
      </c>
      <c r="AM16" s="410">
        <f t="shared" si="6"/>
        <v>9.8418087777559199E-2</v>
      </c>
      <c r="AN16" s="410">
        <f t="shared" si="6"/>
        <v>9.7433906899783609E-2</v>
      </c>
      <c r="AO16" s="410">
        <f>AN16*0.98</f>
        <v>9.548522876178793E-2</v>
      </c>
      <c r="AP16" s="410">
        <f>AO16*0.989</f>
        <v>9.4434891245408256E-2</v>
      </c>
      <c r="AQ16" s="410">
        <f>AP16*0.989</f>
        <v>9.3396107441708759E-2</v>
      </c>
      <c r="AR16" s="313">
        <v>0.15793478897149213</v>
      </c>
      <c r="AS16" t="s">
        <v>547</v>
      </c>
    </row>
    <row r="17" spans="1:45" x14ac:dyDescent="0.3">
      <c r="B17" t="s">
        <v>548</v>
      </c>
      <c r="C17" s="315">
        <f t="shared" ref="C17:N22" si="7">C7/C$12</f>
        <v>0.19775085789887126</v>
      </c>
      <c r="D17" s="315">
        <f t="shared" si="7"/>
        <v>0.19481939472090237</v>
      </c>
      <c r="E17" s="315">
        <f t="shared" si="7"/>
        <v>0.21080356795419958</v>
      </c>
      <c r="F17" s="315">
        <f t="shared" si="7"/>
        <v>0.22888152261015815</v>
      </c>
      <c r="G17" s="315">
        <f t="shared" si="7"/>
        <v>0.17590320215906563</v>
      </c>
      <c r="H17" s="315">
        <f t="shared" si="7"/>
        <v>0.17597514472727163</v>
      </c>
      <c r="I17" s="315">
        <f t="shared" si="7"/>
        <v>0.23280597652687754</v>
      </c>
      <c r="J17" s="315">
        <f t="shared" si="7"/>
        <v>0.21088950854567728</v>
      </c>
      <c r="K17" s="315">
        <f t="shared" si="7"/>
        <v>0.22348982284246452</v>
      </c>
      <c r="L17" s="315">
        <f t="shared" si="7"/>
        <v>0.21659951970262906</v>
      </c>
      <c r="M17" s="321">
        <f t="shared" si="7"/>
        <v>0.23210208979687411</v>
      </c>
      <c r="N17" s="315">
        <f t="shared" si="7"/>
        <v>0.26084759679151137</v>
      </c>
      <c r="O17" s="268">
        <f>N17*0.96</f>
        <v>0.25041369291985088</v>
      </c>
      <c r="P17" s="268">
        <f>O17*0.98</f>
        <v>0.24540541906145386</v>
      </c>
      <c r="Q17" s="268">
        <f>P17*0.99</f>
        <v>0.24295136487083932</v>
      </c>
      <c r="R17" s="268">
        <f t="shared" ref="R17:AF17" si="8">Q17*0.99</f>
        <v>0.24052185122213093</v>
      </c>
      <c r="S17" s="268">
        <f t="shared" si="8"/>
        <v>0.23811663270990963</v>
      </c>
      <c r="T17" s="268">
        <f t="shared" si="8"/>
        <v>0.23573546638281054</v>
      </c>
      <c r="U17" s="268">
        <f t="shared" si="8"/>
        <v>0.23337811171898243</v>
      </c>
      <c r="V17" s="268">
        <f t="shared" si="8"/>
        <v>0.23104433060179261</v>
      </c>
      <c r="W17" s="268">
        <f t="shared" si="8"/>
        <v>0.22873388729577468</v>
      </c>
      <c r="X17" s="268">
        <f t="shared" si="8"/>
        <v>0.22644654842281692</v>
      </c>
      <c r="Y17" s="268">
        <f t="shared" si="8"/>
        <v>0.22418208293858874</v>
      </c>
      <c r="Z17" s="268">
        <f t="shared" si="8"/>
        <v>0.22194026210920284</v>
      </c>
      <c r="AA17" s="268">
        <f t="shared" si="8"/>
        <v>0.21972085948811082</v>
      </c>
      <c r="AB17" s="268">
        <f t="shared" si="8"/>
        <v>0.2175236508932297</v>
      </c>
      <c r="AC17" s="268">
        <f t="shared" si="8"/>
        <v>0.21534841438429739</v>
      </c>
      <c r="AD17" s="268">
        <f t="shared" si="8"/>
        <v>0.21319493024045441</v>
      </c>
      <c r="AE17" s="268">
        <f t="shared" si="8"/>
        <v>0.21106298093804987</v>
      </c>
      <c r="AF17" s="268">
        <f t="shared" si="8"/>
        <v>0.20895235112866936</v>
      </c>
      <c r="AG17" s="268">
        <f t="shared" si="6"/>
        <v>0.20686282761738267</v>
      </c>
      <c r="AH17" s="268">
        <f t="shared" si="6"/>
        <v>0.20479419934120885</v>
      </c>
      <c r="AI17" s="268">
        <f t="shared" si="6"/>
        <v>0.20274625734779675</v>
      </c>
      <c r="AJ17" s="268">
        <f t="shared" si="6"/>
        <v>0.20071879477431878</v>
      </c>
      <c r="AK17" s="268">
        <f t="shared" si="6"/>
        <v>0.1987116068265756</v>
      </c>
      <c r="AL17" s="268">
        <f t="shared" si="6"/>
        <v>0.19672449075830983</v>
      </c>
      <c r="AM17" s="268">
        <f t="shared" si="6"/>
        <v>0.19475724585072673</v>
      </c>
      <c r="AN17" s="268">
        <f t="shared" si="6"/>
        <v>0.19280967339221947</v>
      </c>
      <c r="AO17" s="268">
        <f>AN17*0.99</f>
        <v>0.19088157665829728</v>
      </c>
      <c r="AP17" s="268">
        <f>AO17*0.99</f>
        <v>0.1889727608917143</v>
      </c>
      <c r="AQ17" s="268">
        <f>AP17*0.99</f>
        <v>0.18708303328279716</v>
      </c>
      <c r="AR17" s="313">
        <v>0.23210208979687411</v>
      </c>
      <c r="AS17" t="s">
        <v>548</v>
      </c>
    </row>
    <row r="18" spans="1:45" x14ac:dyDescent="0.3">
      <c r="B18" t="s">
        <v>549</v>
      </c>
      <c r="C18" s="315">
        <f t="shared" si="7"/>
        <v>0.1290776036713937</v>
      </c>
      <c r="D18" s="315">
        <f t="shared" si="7"/>
        <v>0.15373693047518133</v>
      </c>
      <c r="E18" s="315">
        <f t="shared" si="7"/>
        <v>0.13337849853918787</v>
      </c>
      <c r="F18" s="315">
        <f t="shared" si="7"/>
        <v>0.19627319914858657</v>
      </c>
      <c r="G18" s="315">
        <f t="shared" si="7"/>
        <v>0.16723960123753867</v>
      </c>
      <c r="H18" s="315">
        <f t="shared" si="7"/>
        <v>8.9821428571428566E-2</v>
      </c>
      <c r="I18" s="315">
        <f t="shared" si="7"/>
        <v>8.5668075337820199E-2</v>
      </c>
      <c r="J18" s="315">
        <f t="shared" si="7"/>
        <v>0.11671196348905181</v>
      </c>
      <c r="K18" s="315">
        <f t="shared" si="7"/>
        <v>0.11226438188494496</v>
      </c>
      <c r="L18" s="315">
        <f t="shared" si="7"/>
        <v>0.14062093712621562</v>
      </c>
      <c r="M18" s="321">
        <f t="shared" si="7"/>
        <v>2.4878534215301763E-2</v>
      </c>
      <c r="N18" s="315">
        <f t="shared" si="7"/>
        <v>5.6843301964251876E-4</v>
      </c>
      <c r="O18" s="316">
        <v>1E-3</v>
      </c>
      <c r="P18" s="316">
        <v>1E-3</v>
      </c>
      <c r="Q18" s="316">
        <v>2.3E-3</v>
      </c>
      <c r="R18" s="413">
        <v>2.5000000000000001E-3</v>
      </c>
      <c r="S18" s="413">
        <v>2.5000000000000001E-3</v>
      </c>
      <c r="T18" s="413">
        <v>2.8E-3</v>
      </c>
      <c r="U18" s="414">
        <v>3.0000000000000001E-3</v>
      </c>
      <c r="V18" s="414">
        <v>2.8E-3</v>
      </c>
      <c r="W18" s="414">
        <v>2.8E-3</v>
      </c>
      <c r="X18" s="414">
        <v>2.8E-3</v>
      </c>
      <c r="Y18" s="414">
        <v>2.5000000000000001E-3</v>
      </c>
      <c r="Z18" s="414">
        <v>2.2000000000000001E-3</v>
      </c>
      <c r="AA18" s="414">
        <v>2.0999999999999999E-3</v>
      </c>
      <c r="AB18" s="414">
        <v>1.5E-3</v>
      </c>
      <c r="AC18" s="413">
        <f>0.001</f>
        <v>1E-3</v>
      </c>
      <c r="AD18" s="414">
        <v>5.9999999999999995E-4</v>
      </c>
      <c r="AE18" s="414">
        <v>0</v>
      </c>
      <c r="AF18" s="414">
        <f>0</f>
        <v>0</v>
      </c>
      <c r="AG18" s="414">
        <f>0</f>
        <v>0</v>
      </c>
      <c r="AH18" s="414">
        <v>1E-4</v>
      </c>
      <c r="AI18" s="414">
        <v>2.9999999999999997E-4</v>
      </c>
      <c r="AJ18" s="414">
        <v>2.9999999999999997E-4</v>
      </c>
      <c r="AK18" s="414">
        <v>2.9999999999999997E-4</v>
      </c>
      <c r="AL18" s="414">
        <v>2.0000000000000001E-4</v>
      </c>
      <c r="AM18" s="411">
        <f>0</f>
        <v>0</v>
      </c>
      <c r="AN18" s="411">
        <f>0</f>
        <v>0</v>
      </c>
      <c r="AO18" s="411">
        <f>0</f>
        <v>0</v>
      </c>
      <c r="AP18" s="411">
        <f>0</f>
        <v>0</v>
      </c>
      <c r="AQ18" s="411">
        <f>0</f>
        <v>0</v>
      </c>
      <c r="AR18" s="313">
        <v>2.4878534215301763E-2</v>
      </c>
      <c r="AS18" t="s">
        <v>549</v>
      </c>
    </row>
    <row r="19" spans="1:45" x14ac:dyDescent="0.3">
      <c r="B19" t="s">
        <v>542</v>
      </c>
      <c r="C19" s="315">
        <f t="shared" si="7"/>
        <v>0.18067556952081695</v>
      </c>
      <c r="D19" s="315">
        <f t="shared" si="7"/>
        <v>0.18673078490504524</v>
      </c>
      <c r="E19" s="315">
        <f t="shared" si="7"/>
        <v>0.13549561756361944</v>
      </c>
      <c r="F19" s="315">
        <f t="shared" si="7"/>
        <v>0.13178236677993949</v>
      </c>
      <c r="G19" s="315">
        <f t="shared" si="7"/>
        <v>0.16049329666552081</v>
      </c>
      <c r="H19" s="315">
        <f t="shared" si="7"/>
        <v>0.20401785714285714</v>
      </c>
      <c r="I19" s="315">
        <f t="shared" si="7"/>
        <v>2.5877810820681382E-2</v>
      </c>
      <c r="J19" s="315">
        <f t="shared" si="7"/>
        <v>5.1894774626942204E-2</v>
      </c>
      <c r="K19" s="315">
        <f t="shared" si="7"/>
        <v>6.8690330477356176E-2</v>
      </c>
      <c r="L19" s="315">
        <f t="shared" si="7"/>
        <v>3.1826928077383118E-2</v>
      </c>
      <c r="M19" s="321">
        <f t="shared" si="7"/>
        <v>4.5835040683720664E-2</v>
      </c>
      <c r="N19" s="315">
        <f t="shared" si="7"/>
        <v>2.9747994694625152E-2</v>
      </c>
      <c r="O19" s="268">
        <f>N19*1.1</f>
        <v>3.2722794164087673E-2</v>
      </c>
      <c r="P19" s="268">
        <f t="shared" ref="P19" si="9">O19*1.1</f>
        <v>3.5995073580496445E-2</v>
      </c>
      <c r="Q19" s="268">
        <f>P19*1.05</f>
        <v>3.7794827259521269E-2</v>
      </c>
      <c r="R19" s="410">
        <f t="shared" ref="R19:AQ19" si="10">Q19*1.02</f>
        <v>3.8550723804711695E-2</v>
      </c>
      <c r="S19" s="410">
        <f t="shared" si="10"/>
        <v>3.9321738280805929E-2</v>
      </c>
      <c r="T19" s="410">
        <f t="shared" si="10"/>
        <v>4.0108173046422051E-2</v>
      </c>
      <c r="U19" s="410">
        <f t="shared" si="10"/>
        <v>4.0910336507350493E-2</v>
      </c>
      <c r="V19" s="410">
        <f t="shared" si="10"/>
        <v>4.1728543237497501E-2</v>
      </c>
      <c r="W19" s="410">
        <f t="shared" si="10"/>
        <v>4.2563114102247453E-2</v>
      </c>
      <c r="X19" s="410">
        <f t="shared" si="10"/>
        <v>4.3414376384292401E-2</v>
      </c>
      <c r="Y19" s="410">
        <f t="shared" si="10"/>
        <v>4.428266391197825E-2</v>
      </c>
      <c r="Z19" s="410">
        <f t="shared" si="10"/>
        <v>4.5168317190217813E-2</v>
      </c>
      <c r="AA19" s="410">
        <f t="shared" si="10"/>
        <v>4.6071683534022169E-2</v>
      </c>
      <c r="AB19" s="410">
        <f t="shared" si="10"/>
        <v>4.699311720470261E-2</v>
      </c>
      <c r="AC19" s="410">
        <f t="shared" si="10"/>
        <v>4.7932979548796661E-2</v>
      </c>
      <c r="AD19" s="410">
        <f t="shared" si="10"/>
        <v>4.8891639139772597E-2</v>
      </c>
      <c r="AE19" s="410">
        <f t="shared" si="10"/>
        <v>4.9869471922568048E-2</v>
      </c>
      <c r="AF19" s="410">
        <f t="shared" si="10"/>
        <v>5.0866861361019408E-2</v>
      </c>
      <c r="AG19" s="410">
        <f t="shared" si="10"/>
        <v>5.1884198588239797E-2</v>
      </c>
      <c r="AH19" s="410">
        <f t="shared" si="10"/>
        <v>5.2921882560004595E-2</v>
      </c>
      <c r="AI19" s="410">
        <f t="shared" si="10"/>
        <v>5.3980320211204691E-2</v>
      </c>
      <c r="AJ19" s="410">
        <f t="shared" si="10"/>
        <v>5.5059926615428786E-2</v>
      </c>
      <c r="AK19" s="410">
        <f t="shared" si="10"/>
        <v>5.6161125147737363E-2</v>
      </c>
      <c r="AL19" s="410">
        <f t="shared" si="10"/>
        <v>5.7284347650692111E-2</v>
      </c>
      <c r="AM19" s="410">
        <f t="shared" si="10"/>
        <v>5.8430034603705952E-2</v>
      </c>
      <c r="AN19" s="410">
        <f t="shared" si="10"/>
        <v>5.9598635295780071E-2</v>
      </c>
      <c r="AO19" s="410">
        <f t="shared" si="10"/>
        <v>6.0790608001695674E-2</v>
      </c>
      <c r="AP19" s="410">
        <f t="shared" si="10"/>
        <v>6.2006420161729588E-2</v>
      </c>
      <c r="AQ19" s="410">
        <f t="shared" si="10"/>
        <v>6.3246548564964186E-2</v>
      </c>
      <c r="AR19" s="313">
        <v>4.5835040683720664E-2</v>
      </c>
      <c r="AS19" t="s">
        <v>550</v>
      </c>
    </row>
    <row r="20" spans="1:45" x14ac:dyDescent="0.3">
      <c r="B20" s="273" t="s">
        <v>551</v>
      </c>
      <c r="C20" s="315">
        <f t="shared" si="7"/>
        <v>7.5371067102162306E-2</v>
      </c>
      <c r="D20" s="315">
        <f t="shared" si="7"/>
        <v>6.3167332300921017E-2</v>
      </c>
      <c r="E20" s="315">
        <f t="shared" si="7"/>
        <v>6.3513570732946625E-2</v>
      </c>
      <c r="F20" s="315">
        <f t="shared" si="7"/>
        <v>5.1458232196870672E-2</v>
      </c>
      <c r="G20" s="315">
        <f t="shared" si="7"/>
        <v>5.723616363011344E-2</v>
      </c>
      <c r="H20" s="315">
        <f t="shared" si="7"/>
        <v>6.9687499999999999E-2</v>
      </c>
      <c r="I20" s="315">
        <f t="shared" si="7"/>
        <v>8.2537694996608749E-2</v>
      </c>
      <c r="J20" s="315">
        <f t="shared" si="7"/>
        <v>7.9483103430593297E-2</v>
      </c>
      <c r="K20" s="315">
        <f t="shared" si="7"/>
        <v>7.3292533659730721E-2</v>
      </c>
      <c r="L20" s="315">
        <f t="shared" si="7"/>
        <v>7.2858703000676053E-2</v>
      </c>
      <c r="M20" s="321">
        <f t="shared" si="7"/>
        <v>9.0616402271263843E-2</v>
      </c>
      <c r="N20" s="315">
        <f t="shared" si="7"/>
        <v>0.1084183667024569</v>
      </c>
      <c r="O20" s="268">
        <f>N20*0.98</f>
        <v>0.10624999936840776</v>
      </c>
      <c r="P20" s="268">
        <f t="shared" ref="P20" si="11">O20*0.97</f>
        <v>0.10306249938735552</v>
      </c>
      <c r="Q20" s="268">
        <f>P20*0.98</f>
        <v>0.10100124939960842</v>
      </c>
      <c r="R20" s="410">
        <f t="shared" ref="R20:AQ20" si="12">Q20*0.99</f>
        <v>9.9991236905612332E-2</v>
      </c>
      <c r="S20" s="410">
        <f t="shared" si="12"/>
        <v>9.8991324536556208E-2</v>
      </c>
      <c r="T20" s="410">
        <f t="shared" si="12"/>
        <v>9.8001411291190652E-2</v>
      </c>
      <c r="U20" s="410">
        <f t="shared" si="12"/>
        <v>9.7021397178278748E-2</v>
      </c>
      <c r="V20" s="410">
        <f t="shared" si="12"/>
        <v>9.6051183206495958E-2</v>
      </c>
      <c r="W20" s="410">
        <f t="shared" si="12"/>
        <v>9.5090671374431002E-2</v>
      </c>
      <c r="X20" s="410">
        <f t="shared" si="12"/>
        <v>9.4139764660686687E-2</v>
      </c>
      <c r="Y20" s="410">
        <f t="shared" si="12"/>
        <v>9.3198367014079825E-2</v>
      </c>
      <c r="Z20" s="410">
        <f t="shared" si="12"/>
        <v>9.2266383343939024E-2</v>
      </c>
      <c r="AA20" s="410">
        <f t="shared" si="12"/>
        <v>9.1343719510499632E-2</v>
      </c>
      <c r="AB20" s="410">
        <f t="shared" si="12"/>
        <v>9.0430282315394642E-2</v>
      </c>
      <c r="AC20" s="410">
        <f t="shared" si="12"/>
        <v>8.9525979492240698E-2</v>
      </c>
      <c r="AD20" s="410">
        <f t="shared" si="12"/>
        <v>8.8630719697318297E-2</v>
      </c>
      <c r="AE20" s="410">
        <f t="shared" si="12"/>
        <v>8.7744412500345106E-2</v>
      </c>
      <c r="AF20" s="410">
        <f t="shared" si="12"/>
        <v>8.6866968375341649E-2</v>
      </c>
      <c r="AG20" s="410">
        <f t="shared" si="12"/>
        <v>8.5998298691588232E-2</v>
      </c>
      <c r="AH20" s="410">
        <f t="shared" si="12"/>
        <v>8.5138315704672354E-2</v>
      </c>
      <c r="AI20" s="410">
        <f t="shared" si="12"/>
        <v>8.4286932547625634E-2</v>
      </c>
      <c r="AJ20" s="410">
        <f t="shared" si="12"/>
        <v>8.3444063222149381E-2</v>
      </c>
      <c r="AK20" s="410">
        <f t="shared" si="12"/>
        <v>8.2609622589927892E-2</v>
      </c>
      <c r="AL20" s="410">
        <f t="shared" si="12"/>
        <v>8.1783526364028608E-2</v>
      </c>
      <c r="AM20" s="410">
        <f t="shared" si="12"/>
        <v>8.0965691100388315E-2</v>
      </c>
      <c r="AN20" s="410">
        <f t="shared" si="12"/>
        <v>8.0156034189384426E-2</v>
      </c>
      <c r="AO20" s="410">
        <f t="shared" si="12"/>
        <v>7.9354473847490586E-2</v>
      </c>
      <c r="AP20" s="410">
        <f t="shared" si="12"/>
        <v>7.8560929109015673E-2</v>
      </c>
      <c r="AQ20" s="410">
        <f t="shared" si="12"/>
        <v>7.7775319817925515E-2</v>
      </c>
      <c r="AR20" s="313">
        <v>9.0616402271263843E-2</v>
      </c>
      <c r="AS20" s="273" t="s">
        <v>551</v>
      </c>
    </row>
    <row r="21" spans="1:45" x14ac:dyDescent="0.3">
      <c r="B21" s="273" t="s">
        <v>552</v>
      </c>
      <c r="C21" s="315">
        <f t="shared" si="7"/>
        <v>0.31182039938810102</v>
      </c>
      <c r="D21" s="315">
        <f t="shared" si="7"/>
        <v>0.30017116309397668</v>
      </c>
      <c r="E21" s="315">
        <f t="shared" si="7"/>
        <v>0.33337003006309018</v>
      </c>
      <c r="F21" s="315">
        <f t="shared" si="7"/>
        <v>0.28983905298928264</v>
      </c>
      <c r="G21" s="315">
        <f t="shared" si="7"/>
        <v>0.32748367136473017</v>
      </c>
      <c r="H21" s="315">
        <f t="shared" si="7"/>
        <v>0.33091071428571434</v>
      </c>
      <c r="I21" s="315">
        <f t="shared" si="7"/>
        <v>0.40419470965722326</v>
      </c>
      <c r="J21" s="315">
        <f t="shared" si="7"/>
        <v>0.42110660991744009</v>
      </c>
      <c r="K21" s="315">
        <f t="shared" si="7"/>
        <v>0.41611769889840883</v>
      </c>
      <c r="L21" s="315">
        <f t="shared" si="7"/>
        <v>0.39912839981278281</v>
      </c>
      <c r="M21" s="321">
        <f t="shared" si="7"/>
        <v>0.44863314406134752</v>
      </c>
      <c r="N21" s="315">
        <f t="shared" si="7"/>
        <v>0.50243163013958181</v>
      </c>
      <c r="O21" s="268">
        <f>N21*1.005</f>
        <v>0.50494378829027964</v>
      </c>
      <c r="P21" s="268">
        <f>O21*1.002</f>
        <v>0.50595367586686024</v>
      </c>
      <c r="Q21" s="268">
        <f t="shared" ref="Q21:AQ21" si="13">P21*1.005</f>
        <v>0.50848344424619452</v>
      </c>
      <c r="R21" s="410">
        <f t="shared" si="13"/>
        <v>0.51102586146742546</v>
      </c>
      <c r="S21" s="410">
        <f t="shared" si="13"/>
        <v>0.51358099077476249</v>
      </c>
      <c r="T21" s="410">
        <f t="shared" si="13"/>
        <v>0.5161488957286362</v>
      </c>
      <c r="U21" s="410">
        <f t="shared" si="13"/>
        <v>0.5187296402072793</v>
      </c>
      <c r="V21" s="410">
        <f t="shared" si="13"/>
        <v>0.52132328840831565</v>
      </c>
      <c r="W21" s="410">
        <f t="shared" si="13"/>
        <v>0.52392990485035718</v>
      </c>
      <c r="X21" s="410">
        <f t="shared" si="13"/>
        <v>0.52654955437460893</v>
      </c>
      <c r="Y21" s="410">
        <f t="shared" si="13"/>
        <v>0.52918230214648188</v>
      </c>
      <c r="Z21" s="410">
        <f t="shared" si="13"/>
        <v>0.53182821365721422</v>
      </c>
      <c r="AA21" s="410">
        <f t="shared" si="13"/>
        <v>0.53448735472550024</v>
      </c>
      <c r="AB21" s="410">
        <f t="shared" si="13"/>
        <v>0.53715979149912774</v>
      </c>
      <c r="AC21" s="410">
        <f t="shared" si="13"/>
        <v>0.53984559045662328</v>
      </c>
      <c r="AD21" s="410">
        <f t="shared" si="13"/>
        <v>0.54254481840890634</v>
      </c>
      <c r="AE21" s="410">
        <f t="shared" si="13"/>
        <v>0.54525754250095082</v>
      </c>
      <c r="AF21" s="410">
        <f t="shared" si="13"/>
        <v>0.54798383021345554</v>
      </c>
      <c r="AG21" s="410">
        <f t="shared" si="13"/>
        <v>0.55072374936452273</v>
      </c>
      <c r="AH21" s="410">
        <f t="shared" si="13"/>
        <v>0.55347736811134529</v>
      </c>
      <c r="AI21" s="410">
        <f t="shared" si="13"/>
        <v>0.55624475495190195</v>
      </c>
      <c r="AJ21" s="410">
        <f t="shared" si="13"/>
        <v>0.55902597872666138</v>
      </c>
      <c r="AK21" s="410">
        <f t="shared" si="13"/>
        <v>0.56182110862029466</v>
      </c>
      <c r="AL21" s="410">
        <f t="shared" si="13"/>
        <v>0.56463021416339609</v>
      </c>
      <c r="AM21" s="410">
        <f t="shared" si="13"/>
        <v>0.56745336523421297</v>
      </c>
      <c r="AN21" s="410">
        <f t="shared" si="13"/>
        <v>0.570290632060384</v>
      </c>
      <c r="AO21" s="410">
        <f t="shared" si="13"/>
        <v>0.57314208522068588</v>
      </c>
      <c r="AP21" s="410">
        <f t="shared" si="13"/>
        <v>0.57600779564678928</v>
      </c>
      <c r="AQ21" s="410">
        <f t="shared" si="13"/>
        <v>0.57888783462502313</v>
      </c>
      <c r="AR21" s="313">
        <v>0.44863314406134752</v>
      </c>
      <c r="AS21" s="273" t="s">
        <v>552</v>
      </c>
    </row>
    <row r="22" spans="1:45" x14ac:dyDescent="0.3">
      <c r="B22" s="273" t="s">
        <v>545</v>
      </c>
      <c r="C22" s="315">
        <f t="shared" si="7"/>
        <v>1</v>
      </c>
      <c r="D22" s="315">
        <f t="shared" si="7"/>
        <v>1</v>
      </c>
      <c r="E22" s="315">
        <f t="shared" si="7"/>
        <v>1</v>
      </c>
      <c r="F22" s="315">
        <f t="shared" si="7"/>
        <v>1</v>
      </c>
      <c r="G22" s="315">
        <f t="shared" si="7"/>
        <v>1</v>
      </c>
      <c r="H22" s="315">
        <f t="shared" si="7"/>
        <v>1</v>
      </c>
      <c r="I22" s="315">
        <f t="shared" si="7"/>
        <v>1</v>
      </c>
      <c r="J22" s="315">
        <f t="shared" si="7"/>
        <v>1</v>
      </c>
      <c r="K22" s="315">
        <f t="shared" si="7"/>
        <v>1</v>
      </c>
      <c r="L22" s="315">
        <f t="shared" si="7"/>
        <v>1</v>
      </c>
      <c r="M22" s="321">
        <f t="shared" si="7"/>
        <v>1</v>
      </c>
      <c r="N22" s="315">
        <f t="shared" si="7"/>
        <v>1</v>
      </c>
      <c r="O22" s="316">
        <f>SUM(O16:O21)</f>
        <v>0.99995150887387085</v>
      </c>
      <c r="P22" s="316">
        <f t="shared" ref="P22:AQ22" si="14">SUM(P16:P21)</f>
        <v>1.0000135089243982</v>
      </c>
      <c r="Q22" s="316">
        <f t="shared" si="14"/>
        <v>1.0000417583941135</v>
      </c>
      <c r="R22" s="322">
        <f t="shared" si="14"/>
        <v>0.99999303514521232</v>
      </c>
      <c r="S22" s="316">
        <f t="shared" si="14"/>
        <v>0.99980664468562086</v>
      </c>
      <c r="T22" s="316">
        <f t="shared" si="14"/>
        <v>0.99998260887426249</v>
      </c>
      <c r="U22" s="316">
        <f t="shared" si="14"/>
        <v>1.0001209593746687</v>
      </c>
      <c r="V22" s="316">
        <f t="shared" si="14"/>
        <v>0.99992173774311677</v>
      </c>
      <c r="W22" s="322">
        <f t="shared" si="14"/>
        <v>0.99998499551953635</v>
      </c>
      <c r="X22" s="316">
        <f t="shared" si="14"/>
        <v>1.0001107943212342</v>
      </c>
      <c r="Y22" s="316">
        <f t="shared" si="14"/>
        <v>0.99999920593947911</v>
      </c>
      <c r="Z22" s="316">
        <f t="shared" si="14"/>
        <v>0.9999503124389959</v>
      </c>
      <c r="AA22" s="316">
        <f t="shared" si="14"/>
        <v>1.0001642062604166</v>
      </c>
      <c r="AB22" s="322">
        <f t="shared" si="14"/>
        <v>0.99994099032573602</v>
      </c>
      <c r="AC22" s="316">
        <f t="shared" si="14"/>
        <v>0.99988077814682608</v>
      </c>
      <c r="AD22" s="316">
        <f t="shared" si="14"/>
        <v>0.99998369393705488</v>
      </c>
      <c r="AE22" s="316">
        <f t="shared" si="14"/>
        <v>0.9999498727260665</v>
      </c>
      <c r="AF22" s="316">
        <f t="shared" si="14"/>
        <v>1.000261414083182</v>
      </c>
      <c r="AG22" s="322">
        <f t="shared" si="14"/>
        <v>1.0000045632363825</v>
      </c>
      <c r="AH22" s="316">
        <f t="shared" si="14"/>
        <v>0.99992189980213353</v>
      </c>
      <c r="AI22" s="316">
        <f t="shared" si="14"/>
        <v>1.0000134978025825</v>
      </c>
      <c r="AJ22" s="316">
        <f t="shared" si="14"/>
        <v>0.99997944375517145</v>
      </c>
      <c r="AK22" s="316">
        <f t="shared" si="14"/>
        <v>1.0000198367969824</v>
      </c>
      <c r="AL22" s="322">
        <f t="shared" si="14"/>
        <v>1.0000347888127492</v>
      </c>
      <c r="AM22" s="316">
        <f t="shared" si="14"/>
        <v>1.0000244245665932</v>
      </c>
      <c r="AN22" s="316">
        <f t="shared" si="14"/>
        <v>1.0002888818375517</v>
      </c>
      <c r="AO22" s="316">
        <f t="shared" si="14"/>
        <v>0.99965397248995735</v>
      </c>
      <c r="AP22" s="316">
        <f t="shared" si="14"/>
        <v>0.99998279705465709</v>
      </c>
      <c r="AQ22" s="322">
        <f t="shared" si="14"/>
        <v>1.0003888437324187</v>
      </c>
      <c r="AR22" s="251"/>
      <c r="AS22" s="273" t="s">
        <v>545</v>
      </c>
    </row>
    <row r="23" spans="1:45" x14ac:dyDescent="0.3">
      <c r="B23" s="273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</row>
    <row r="25" spans="1:45" x14ac:dyDescent="0.3">
      <c r="B25" s="377" t="s">
        <v>553</v>
      </c>
    </row>
    <row r="26" spans="1:45" x14ac:dyDescent="0.3">
      <c r="B26" s="376"/>
    </row>
    <row r="27" spans="1:45" ht="28.8" x14ac:dyDescent="0.3">
      <c r="B27" s="378" t="s">
        <v>554</v>
      </c>
      <c r="J27" s="246"/>
      <c r="K27" s="246"/>
    </row>
    <row r="28" spans="1:45" ht="57.6" x14ac:dyDescent="0.3">
      <c r="A28" s="273"/>
      <c r="B28" s="378" t="s">
        <v>555</v>
      </c>
      <c r="C28" s="273"/>
      <c r="D28" s="273"/>
      <c r="E28" s="273"/>
      <c r="F28" s="273"/>
    </row>
    <row r="29" spans="1:45" ht="45" customHeight="1" x14ac:dyDescent="0.3">
      <c r="A29" s="273"/>
      <c r="B29" s="378" t="s">
        <v>556</v>
      </c>
      <c r="C29" s="273"/>
      <c r="D29" s="273"/>
      <c r="E29" s="273"/>
      <c r="F29" s="273"/>
      <c r="G29" s="272"/>
      <c r="H29" s="272"/>
      <c r="I29" s="272"/>
    </row>
    <row r="30" spans="1:45" ht="86.4" x14ac:dyDescent="0.3">
      <c r="A30" s="273"/>
      <c r="B30" s="378" t="s">
        <v>1288</v>
      </c>
      <c r="C30" s="273"/>
      <c r="D30" s="273"/>
      <c r="E30" s="273"/>
      <c r="F30" s="273"/>
      <c r="G30" s="296"/>
      <c r="H30" s="296"/>
      <c r="I30" s="296"/>
    </row>
    <row r="31" spans="1:45" x14ac:dyDescent="0.3">
      <c r="B31" s="244"/>
      <c r="D31" s="247"/>
      <c r="E31" s="247"/>
      <c r="F31" s="247"/>
      <c r="G31" s="247"/>
      <c r="H31" s="247"/>
      <c r="I31" s="247"/>
    </row>
    <row r="44" spans="2:14" x14ac:dyDescent="0.3">
      <c r="E44" t="s">
        <v>557</v>
      </c>
    </row>
    <row r="45" spans="2:14" ht="18.75" customHeight="1" x14ac:dyDescent="0.3">
      <c r="B45" s="375"/>
    </row>
    <row r="47" spans="2:14" x14ac:dyDescent="0.3">
      <c r="C47" s="193" t="s">
        <v>508</v>
      </c>
      <c r="D47" s="193" t="s">
        <v>513</v>
      </c>
      <c r="E47" s="193" t="s">
        <v>518</v>
      </c>
      <c r="F47" s="193" t="s">
        <v>523</v>
      </c>
      <c r="G47" s="193" t="s">
        <v>528</v>
      </c>
      <c r="H47" s="193" t="s">
        <v>533</v>
      </c>
      <c r="I47" s="193" t="s">
        <v>538</v>
      </c>
      <c r="J47" s="379"/>
    </row>
    <row r="48" spans="2:14" x14ac:dyDescent="0.3">
      <c r="B48" t="s">
        <v>107</v>
      </c>
      <c r="C48" s="265">
        <f t="shared" ref="C48:C53" si="15">M6</f>
        <v>749.44444444444446</v>
      </c>
      <c r="D48" s="246">
        <f t="shared" ref="D48:D53" si="16">R6</f>
        <v>526.05034140639748</v>
      </c>
      <c r="E48" s="246">
        <f t="shared" ref="E48:E53" si="17">W6</f>
        <v>563.87775133680805</v>
      </c>
      <c r="F48" s="246">
        <f t="shared" ref="F48:F53" si="18">AB6</f>
        <v>604.42526774641556</v>
      </c>
      <c r="G48" s="246">
        <f t="shared" ref="G48:G53" si="19">AG6</f>
        <v>640.12357270841619</v>
      </c>
      <c r="H48" s="246">
        <f t="shared" ref="H48:H53" si="20">AL6</f>
        <v>655.79787446600767</v>
      </c>
      <c r="I48" s="246">
        <f t="shared" ref="I48:I53" si="21">AQ6</f>
        <v>638.49387376728862</v>
      </c>
      <c r="J48" s="268"/>
      <c r="K48" s="268"/>
      <c r="M48" s="268"/>
      <c r="N48" s="313"/>
    </row>
    <row r="49" spans="1:43" x14ac:dyDescent="0.3">
      <c r="B49" t="s">
        <v>112</v>
      </c>
      <c r="C49" s="265">
        <f t="shared" si="15"/>
        <v>1101.3888888888889</v>
      </c>
      <c r="D49" s="246">
        <f t="shared" si="16"/>
        <v>1178.0506670835186</v>
      </c>
      <c r="E49" s="246">
        <f t="shared" si="17"/>
        <v>1206.8968499595396</v>
      </c>
      <c r="F49" s="246">
        <f t="shared" si="18"/>
        <v>1236.4493711024675</v>
      </c>
      <c r="G49" s="246">
        <f t="shared" si="19"/>
        <v>1266.7255261714699</v>
      </c>
      <c r="H49" s="246">
        <f t="shared" si="20"/>
        <v>1297.7430343336002</v>
      </c>
      <c r="I49" s="246">
        <f t="shared" si="21"/>
        <v>1278.9759006971553</v>
      </c>
      <c r="J49" s="268"/>
      <c r="M49" s="268"/>
      <c r="N49" s="313"/>
    </row>
    <row r="50" spans="1:43" x14ac:dyDescent="0.3">
      <c r="B50" t="s">
        <v>113</v>
      </c>
      <c r="C50" s="265">
        <f t="shared" si="15"/>
        <v>118.05555555555556</v>
      </c>
      <c r="D50" s="246">
        <f t="shared" si="16"/>
        <v>12.244736404381246</v>
      </c>
      <c r="E50" s="246">
        <f t="shared" si="17"/>
        <v>14.77398569944706</v>
      </c>
      <c r="F50" s="246">
        <f t="shared" si="18"/>
        <v>8.5263098933736536</v>
      </c>
      <c r="G50" s="246">
        <f t="shared" si="19"/>
        <v>0</v>
      </c>
      <c r="H50" s="246">
        <f t="shared" si="20"/>
        <v>1.3193507624101268</v>
      </c>
      <c r="I50" s="246">
        <f t="shared" si="21"/>
        <v>0</v>
      </c>
      <c r="J50" s="268"/>
      <c r="M50" s="268"/>
      <c r="N50" s="313"/>
    </row>
    <row r="51" spans="1:43" x14ac:dyDescent="0.3">
      <c r="B51" t="s">
        <v>542</v>
      </c>
      <c r="C51" s="265">
        <f t="shared" si="15"/>
        <v>217.5</v>
      </c>
      <c r="D51" s="246">
        <f t="shared" si="16"/>
        <v>188.81738047472001</v>
      </c>
      <c r="E51" s="246">
        <f>W9</f>
        <v>224.58101395376335</v>
      </c>
      <c r="F51" s="246">
        <f t="shared" si="18"/>
        <v>267.11858676194902</v>
      </c>
      <c r="G51" s="246">
        <f t="shared" si="19"/>
        <v>317.71314118472577</v>
      </c>
      <c r="H51" s="246">
        <f>AL9</f>
        <v>377.89073873553696</v>
      </c>
      <c r="I51" s="246">
        <f t="shared" si="21"/>
        <v>432.37919546977753</v>
      </c>
      <c r="J51" s="268"/>
      <c r="M51" s="268"/>
      <c r="N51" s="313"/>
    </row>
    <row r="52" spans="1:43" x14ac:dyDescent="0.3">
      <c r="B52" t="s">
        <v>559</v>
      </c>
      <c r="C52" s="265">
        <f t="shared" si="15"/>
        <v>430</v>
      </c>
      <c r="D52" s="246">
        <f t="shared" si="16"/>
        <v>489.74653546290438</v>
      </c>
      <c r="E52" s="246">
        <f t="shared" si="17"/>
        <v>501.73864965595129</v>
      </c>
      <c r="F52" s="246">
        <f t="shared" si="18"/>
        <v>514.02440717754791</v>
      </c>
      <c r="G52" s="246">
        <f t="shared" si="19"/>
        <v>526.61099828647718</v>
      </c>
      <c r="H52" s="246">
        <f t="shared" si="20"/>
        <v>539.50578930484926</v>
      </c>
      <c r="I52" s="246">
        <f t="shared" si="21"/>
        <v>531.70380002218735</v>
      </c>
      <c r="J52" s="268"/>
      <c r="M52" s="268"/>
      <c r="N52" s="313"/>
    </row>
    <row r="53" spans="1:43" x14ac:dyDescent="0.3">
      <c r="B53" t="s">
        <v>560</v>
      </c>
      <c r="C53" s="336">
        <f t="shared" si="15"/>
        <v>2128.8888888888887</v>
      </c>
      <c r="D53" s="246">
        <f t="shared" si="16"/>
        <v>2502.9507877961887</v>
      </c>
      <c r="E53" s="246">
        <f t="shared" si="17"/>
        <v>2764.4760434899413</v>
      </c>
      <c r="F53" s="246">
        <f t="shared" si="18"/>
        <v>3053.3272297210278</v>
      </c>
      <c r="G53" s="246">
        <f t="shared" si="19"/>
        <v>3372.3595448440014</v>
      </c>
      <c r="H53" s="246">
        <f t="shared" si="20"/>
        <v>3724.7265176813494</v>
      </c>
      <c r="I53" s="246">
        <f t="shared" si="21"/>
        <v>3957.5132854137091</v>
      </c>
      <c r="J53" s="268"/>
      <c r="M53" s="268"/>
      <c r="N53" s="313"/>
    </row>
    <row r="54" spans="1:43" x14ac:dyDescent="0.3">
      <c r="B54" s="273" t="s">
        <v>545</v>
      </c>
      <c r="C54" s="338">
        <f>SUM(C48:C53)</f>
        <v>4745.2777777777774</v>
      </c>
      <c r="D54" s="247">
        <f t="shared" ref="D54:I54" si="22">SUM(D48:D53)</f>
        <v>4897.860448628111</v>
      </c>
      <c r="E54" s="247">
        <f t="shared" si="22"/>
        <v>5276.3442940954501</v>
      </c>
      <c r="F54" s="247">
        <f t="shared" si="22"/>
        <v>5683.8711724027817</v>
      </c>
      <c r="G54" s="247">
        <f t="shared" si="22"/>
        <v>6123.5327831950908</v>
      </c>
      <c r="H54" s="247">
        <f t="shared" si="22"/>
        <v>6596.983305283753</v>
      </c>
      <c r="I54" s="247">
        <f t="shared" si="22"/>
        <v>6839.0660553701182</v>
      </c>
      <c r="J54" s="268"/>
      <c r="M54" s="268"/>
      <c r="N54" s="313"/>
    </row>
    <row r="55" spans="1:43" x14ac:dyDescent="0.3">
      <c r="B55" s="381" t="s">
        <v>561</v>
      </c>
      <c r="C55" s="380">
        <v>5303</v>
      </c>
      <c r="D55" s="380">
        <v>6501</v>
      </c>
      <c r="E55" s="380">
        <v>7280</v>
      </c>
      <c r="F55" s="380">
        <v>7025</v>
      </c>
      <c r="G55" s="380">
        <v>6827</v>
      </c>
      <c r="H55" s="380">
        <v>6745</v>
      </c>
      <c r="I55" s="380">
        <v>6664</v>
      </c>
    </row>
    <row r="56" spans="1:43" ht="30" customHeight="1" x14ac:dyDescent="0.3"/>
    <row r="61" spans="1:43" x14ac:dyDescent="0.3">
      <c r="A61" s="285" t="s">
        <v>562</v>
      </c>
      <c r="B61" s="330"/>
    </row>
    <row r="62" spans="1:43" ht="15" customHeight="1" x14ac:dyDescent="0.3">
      <c r="M62" s="245"/>
    </row>
    <row r="63" spans="1:43" x14ac:dyDescent="0.3">
      <c r="A63" s="244" t="s">
        <v>563</v>
      </c>
      <c r="C63" s="246">
        <v>2010</v>
      </c>
      <c r="D63" s="246">
        <v>2011</v>
      </c>
      <c r="E63" s="246">
        <v>2012</v>
      </c>
      <c r="F63" s="246">
        <v>2013</v>
      </c>
      <c r="G63" s="246">
        <v>2014</v>
      </c>
      <c r="H63" s="246">
        <v>2015</v>
      </c>
      <c r="I63" s="246">
        <v>2016</v>
      </c>
      <c r="J63" s="246">
        <v>2017</v>
      </c>
      <c r="K63" s="246">
        <v>2018</v>
      </c>
      <c r="L63" s="246">
        <v>2019</v>
      </c>
      <c r="M63" s="246">
        <v>2020</v>
      </c>
      <c r="N63" s="246">
        <v>2021</v>
      </c>
      <c r="O63" s="246">
        <v>2022</v>
      </c>
      <c r="P63" s="246">
        <v>2023</v>
      </c>
      <c r="Q63" s="246">
        <v>2024</v>
      </c>
      <c r="R63" s="246">
        <v>2025</v>
      </c>
      <c r="S63" s="246">
        <v>2026</v>
      </c>
      <c r="T63" s="246">
        <v>2027</v>
      </c>
      <c r="U63" s="246">
        <v>2028</v>
      </c>
      <c r="V63" s="246">
        <v>2029</v>
      </c>
      <c r="W63" s="246">
        <v>2030</v>
      </c>
      <c r="X63" s="246">
        <v>2031</v>
      </c>
      <c r="Y63" s="246">
        <v>2032</v>
      </c>
      <c r="Z63" s="246">
        <v>2033</v>
      </c>
      <c r="AA63" s="246">
        <v>2034</v>
      </c>
      <c r="AB63" s="246">
        <v>2035</v>
      </c>
      <c r="AC63" s="246">
        <v>2036</v>
      </c>
      <c r="AD63" s="246">
        <v>2037</v>
      </c>
      <c r="AE63" s="246">
        <v>2038</v>
      </c>
      <c r="AF63" s="246">
        <v>2039</v>
      </c>
      <c r="AG63" s="246">
        <v>2040</v>
      </c>
      <c r="AH63" s="246">
        <v>2041</v>
      </c>
      <c r="AI63" s="246">
        <v>2042</v>
      </c>
      <c r="AJ63" s="246">
        <v>2043</v>
      </c>
      <c r="AK63" s="246">
        <v>2044</v>
      </c>
      <c r="AL63" s="246">
        <v>2045</v>
      </c>
      <c r="AM63" s="246">
        <v>2046</v>
      </c>
      <c r="AN63" s="246">
        <v>2047</v>
      </c>
      <c r="AO63" s="246">
        <v>2048</v>
      </c>
      <c r="AP63" s="246">
        <v>2049</v>
      </c>
      <c r="AQ63" s="246">
        <v>2050</v>
      </c>
    </row>
    <row r="64" spans="1:43" x14ac:dyDescent="0.3">
      <c r="A64" s="330" t="s">
        <v>564</v>
      </c>
      <c r="C64" s="246">
        <f>' Transport (GWh)'!C174+' Transport (GWh)'!C203</f>
        <v>3365.7220000000002</v>
      </c>
      <c r="D64" s="246">
        <f>' Transport (GWh)'!D174+' Transport (GWh)'!D203</f>
        <v>3116.6666666666665</v>
      </c>
      <c r="E64" s="246">
        <f>' Transport (GWh)'!E174+' Transport (GWh)'!E203</f>
        <v>2982.2222222222222</v>
      </c>
      <c r="F64" s="246">
        <f>' Transport (GWh)'!F174+' Transport (GWh)'!F203</f>
        <v>2798.8888888888887</v>
      </c>
      <c r="G64" s="246">
        <f>' Transport (GWh)'!G174+' Transport (GWh)'!G203</f>
        <v>2811.1111111111109</v>
      </c>
      <c r="H64" s="246">
        <f>' Transport (GWh)'!H174+' Transport (GWh)'!H203</f>
        <v>2798.8888888888887</v>
      </c>
      <c r="I64" s="246">
        <f>' Transport (GWh)'!I174+' Transport (GWh)'!I203</f>
        <v>2957.7777777777778</v>
      </c>
      <c r="J64" s="246">
        <f>' Transport (GWh)'!J174+' Transport (GWh)'!J203</f>
        <v>3104.4444444444443</v>
      </c>
      <c r="K64" s="246">
        <f>' Transport (GWh)'!K174+' Transport (GWh)'!K203</f>
        <v>3165.5555555555557</v>
      </c>
      <c r="L64" s="246">
        <f>' Transport (GWh)'!L174+' Transport (GWh)'!L203</f>
        <v>3177.7777777777778</v>
      </c>
      <c r="M64" s="246">
        <f>' Transport (GWh)'!M174+' Transport (GWh)'!M203</f>
        <v>2493.3333333333335</v>
      </c>
      <c r="N64" s="246">
        <f>' Transport (GWh)'!N174+' Transport (GWh)'!N203</f>
        <v>2322.2222222222222</v>
      </c>
      <c r="O64" s="246">
        <f>O$73*O77</f>
        <v>2275.0811111111111</v>
      </c>
      <c r="P64" s="246">
        <f t="shared" ref="P64:AP64" si="23">P$73*P77</f>
        <v>2228.8969645555553</v>
      </c>
      <c r="Q64" s="246">
        <f t="shared" si="23"/>
        <v>2183.6503561750778</v>
      </c>
      <c r="R64" s="246">
        <f t="shared" si="23"/>
        <v>2139.3222539447238</v>
      </c>
      <c r="S64" s="246">
        <f t="shared" si="23"/>
        <v>2095.8940121896458</v>
      </c>
      <c r="T64" s="246">
        <f t="shared" si="23"/>
        <v>2053.3473637421962</v>
      </c>
      <c r="U64" s="246">
        <f t="shared" si="23"/>
        <v>2011.6644122582295</v>
      </c>
      <c r="V64" s="246">
        <f t="shared" si="23"/>
        <v>1970.8276246893877</v>
      </c>
      <c r="W64" s="246">
        <f t="shared" si="23"/>
        <v>1930.8198239081933</v>
      </c>
      <c r="X64" s="246">
        <f t="shared" si="23"/>
        <v>1891.6241814828568</v>
      </c>
      <c r="Y64" s="246">
        <f t="shared" si="23"/>
        <v>1853.2242105987548</v>
      </c>
      <c r="Z64" s="246">
        <f t="shared" si="23"/>
        <v>1815.6037591236</v>
      </c>
      <c r="AA64" s="246">
        <f t="shared" si="23"/>
        <v>1778.747002813391</v>
      </c>
      <c r="AB64" s="246">
        <f t="shared" si="23"/>
        <v>1742.638438656279</v>
      </c>
      <c r="AC64" s="246">
        <f t="shared" si="23"/>
        <v>1707.2628783515565</v>
      </c>
      <c r="AD64" s="246">
        <f t="shared" si="23"/>
        <v>1672.60544192102</v>
      </c>
      <c r="AE64" s="246">
        <f t="shared" si="23"/>
        <v>1638.6515514500231</v>
      </c>
      <c r="AF64" s="246">
        <f t="shared" si="23"/>
        <v>1605.3869249555873</v>
      </c>
      <c r="AG64" s="246">
        <f t="shared" si="23"/>
        <v>1572.7975703789891</v>
      </c>
      <c r="AH64" s="246">
        <f t="shared" si="23"/>
        <v>1540.8697797002953</v>
      </c>
      <c r="AI64" s="246">
        <f t="shared" si="23"/>
        <v>1509.5901231723792</v>
      </c>
      <c r="AJ64" s="246">
        <f t="shared" si="23"/>
        <v>1478.94544367198</v>
      </c>
      <c r="AK64" s="246">
        <f t="shared" si="23"/>
        <v>1448.9228511654387</v>
      </c>
      <c r="AL64" s="246">
        <f t="shared" si="23"/>
        <v>1419.5097172867802</v>
      </c>
      <c r="AM64" s="246">
        <f t="shared" si="23"/>
        <v>1390.6936700258584</v>
      </c>
      <c r="AN64" s="246">
        <f t="shared" si="23"/>
        <v>1362.4625885243336</v>
      </c>
      <c r="AO64" s="246">
        <f t="shared" si="23"/>
        <v>1334.8045979772894</v>
      </c>
      <c r="AP64" s="246">
        <f t="shared" si="23"/>
        <v>1307.7080646383506</v>
      </c>
      <c r="AQ64" s="246">
        <f>AQ$73*AQ77</f>
        <v>1281.161590926192</v>
      </c>
    </row>
    <row r="65" spans="1:44" x14ac:dyDescent="0.3">
      <c r="A65" s="330" t="s">
        <v>565</v>
      </c>
      <c r="C65" s="246">
        <f>' Transport (GWh)'!C175+' Transport (GWh)'!C188+' Transport (GWh)'!C204</f>
        <v>5210.2219999999998</v>
      </c>
      <c r="D65" s="246">
        <f>' Transport (GWh)'!D175+' Transport (GWh)'!D188+' Transport (GWh)'!D204</f>
        <v>5428.5</v>
      </c>
      <c r="E65" s="246">
        <f>' Transport (GWh)'!E175+' Transport (GWh)'!E188+' Transport (GWh)'!E204</f>
        <v>5651.7499999999991</v>
      </c>
      <c r="F65" s="246">
        <f>' Transport (GWh)'!F175+' Transport (GWh)'!F188+' Transport (GWh)'!F204</f>
        <v>5628.25</v>
      </c>
      <c r="G65" s="246">
        <f>' Transport (GWh)'!G175+' Transport (GWh)'!G188+' Transport (GWh)'!G204</f>
        <v>5616.4999999999991</v>
      </c>
      <c r="H65" s="246">
        <f>' Transport (GWh)'!H175+' Transport (GWh)'!H188+' Transport (GWh)'!H204</f>
        <v>5851.5</v>
      </c>
      <c r="I65" s="246">
        <f>' Transport (GWh)'!I175+' Transport (GWh)'!I188+' Transport (GWh)'!I204</f>
        <v>5879.0197600000001</v>
      </c>
      <c r="J65" s="246">
        <f>' Transport (GWh)'!J175+' Transport (GWh)'!J188+' Transport (GWh)'!J204</f>
        <v>6017.7624999999998</v>
      </c>
      <c r="K65" s="246">
        <f>' Transport (GWh)'!K175+' Transport (GWh)'!K188+' Transport (GWh)'!K204</f>
        <v>6063.2450800000006</v>
      </c>
      <c r="L65" s="246">
        <f>' Transport (GWh)'!L175+' Transport (GWh)'!L188+' Transport (GWh)'!L204</f>
        <v>5851.1833333333325</v>
      </c>
      <c r="M65" s="246">
        <f>' Transport (GWh)'!M175+' Transport (GWh)'!M188+' Transport (GWh)'!M204</f>
        <v>5796.1111111111104</v>
      </c>
      <c r="N65" s="246">
        <f>' Transport (GWh)'!N175+' Transport (GWh)'!N188+' Transport (GWh)'!N204</f>
        <v>6404.4444444444434</v>
      </c>
      <c r="O65" s="246">
        <f t="shared" ref="O65:AQ72" si="24">O$73*O78</f>
        <v>6500.8313333333317</v>
      </c>
      <c r="P65" s="246">
        <f t="shared" si="24"/>
        <v>6598.6688448999976</v>
      </c>
      <c r="Q65" s="246">
        <f t="shared" si="24"/>
        <v>6697.9788110157415</v>
      </c>
      <c r="R65" s="246">
        <f t="shared" si="24"/>
        <v>6798.7833921215288</v>
      </c>
      <c r="S65" s="246">
        <f t="shared" si="24"/>
        <v>6901.1050821729559</v>
      </c>
      <c r="T65" s="246">
        <f t="shared" si="24"/>
        <v>7004.966713659659</v>
      </c>
      <c r="U65" s="246">
        <f t="shared" si="24"/>
        <v>7110.3914627002368</v>
      </c>
      <c r="V65" s="246">
        <f t="shared" si="24"/>
        <v>7217.4028542138749</v>
      </c>
      <c r="W65" s="246">
        <f t="shared" si="24"/>
        <v>7326.0247671697925</v>
      </c>
      <c r="X65" s="246">
        <f t="shared" si="24"/>
        <v>7436.2814399156978</v>
      </c>
      <c r="Y65" s="246">
        <f t="shared" si="24"/>
        <v>7548.1974755864276</v>
      </c>
      <c r="Z65" s="246">
        <f t="shared" si="24"/>
        <v>7661.7978475940017</v>
      </c>
      <c r="AA65" s="246">
        <f t="shared" si="24"/>
        <v>7777.1079052002906</v>
      </c>
      <c r="AB65" s="246">
        <f t="shared" si="24"/>
        <v>7894.1533791735537</v>
      </c>
      <c r="AC65" s="246">
        <f t="shared" si="24"/>
        <v>8012.9603875301145</v>
      </c>
      <c r="AD65" s="246">
        <f t="shared" si="24"/>
        <v>8133.5554413624413</v>
      </c>
      <c r="AE65" s="246">
        <f t="shared" si="24"/>
        <v>8255.965450754944</v>
      </c>
      <c r="AF65" s="246">
        <f t="shared" si="24"/>
        <v>8380.2177307888051</v>
      </c>
      <c r="AG65" s="246">
        <f t="shared" si="24"/>
        <v>8506.3400076371763</v>
      </c>
      <c r="AH65" s="246">
        <f t="shared" si="24"/>
        <v>8634.3604247521143</v>
      </c>
      <c r="AI65" s="246">
        <f t="shared" si="24"/>
        <v>8764.3075491446325</v>
      </c>
      <c r="AJ65" s="246">
        <f t="shared" si="24"/>
        <v>8896.2103777592583</v>
      </c>
      <c r="AK65" s="246">
        <f t="shared" si="24"/>
        <v>9030.0983439445336</v>
      </c>
      <c r="AL65" s="246">
        <f t="shared" si="24"/>
        <v>9166.0013240208973</v>
      </c>
      <c r="AM65" s="246">
        <f t="shared" si="24"/>
        <v>9303.9496439474115</v>
      </c>
      <c r="AN65" s="246">
        <f t="shared" si="24"/>
        <v>9443.9740860888178</v>
      </c>
      <c r="AO65" s="246">
        <f t="shared" si="24"/>
        <v>9586.1058960844548</v>
      </c>
      <c r="AP65" s="246">
        <f t="shared" si="24"/>
        <v>9730.3767898205242</v>
      </c>
      <c r="AQ65" s="246">
        <f t="shared" si="24"/>
        <v>9876.8189605073203</v>
      </c>
    </row>
    <row r="66" spans="1:44" x14ac:dyDescent="0.3">
      <c r="A66" t="s">
        <v>566</v>
      </c>
      <c r="C66" s="246">
        <f>' Transport (GWh)'!C196</f>
        <v>11.110000000000001</v>
      </c>
      <c r="D66" s="246">
        <f>' Transport (GWh)'!D196</f>
        <v>13.48111111111111</v>
      </c>
      <c r="E66" s="246">
        <f>' Transport (GWh)'!E196</f>
        <v>11.99</v>
      </c>
      <c r="F66" s="246">
        <f>' Transport (GWh)'!F196</f>
        <v>15.497777777777776</v>
      </c>
      <c r="G66" s="246">
        <f>' Transport (GWh)'!G196</f>
        <v>15.644444444444444</v>
      </c>
      <c r="H66" s="246">
        <f>' Transport (GWh)'!H196</f>
        <v>16.524444444444445</v>
      </c>
      <c r="I66" s="246">
        <f>' Transport (GWh)'!I196</f>
        <v>13.456666666666667</v>
      </c>
      <c r="J66" s="246">
        <f>' Transport (GWh)'!J196</f>
        <v>14.214444444444446</v>
      </c>
      <c r="K66" s="246">
        <f>' Transport (GWh)'!K196</f>
        <v>15.864444444444445</v>
      </c>
      <c r="L66" s="246">
        <f>' Transport (GWh)'!L196</f>
        <v>15.119</v>
      </c>
      <c r="M66" s="246">
        <f>' Transport (GWh)'!M196</f>
        <v>13.888888888888889</v>
      </c>
      <c r="N66" s="246">
        <f>' Transport (GWh)'!N196</f>
        <v>21.666666666666668</v>
      </c>
      <c r="O66" s="246">
        <f>O$73*O79</f>
        <v>21.883333333333333</v>
      </c>
      <c r="P66" s="246">
        <f>P$73*P79</f>
        <v>22.102166666666665</v>
      </c>
      <c r="Q66" s="246">
        <f>Q$73*Q79</f>
        <v>22.323188333333334</v>
      </c>
      <c r="R66" s="246">
        <f t="shared" si="24"/>
        <v>22.546420216666672</v>
      </c>
      <c r="S66" s="246">
        <f t="shared" si="24"/>
        <v>22.771884418833334</v>
      </c>
      <c r="T66" s="246">
        <f t="shared" si="24"/>
        <v>22.999603263021669</v>
      </c>
      <c r="U66" s="246">
        <f t="shared" si="24"/>
        <v>23.229599295651887</v>
      </c>
      <c r="V66" s="246">
        <f t="shared" si="24"/>
        <v>23.461895288608407</v>
      </c>
      <c r="W66" s="246">
        <f t="shared" si="24"/>
        <v>23.696514241494491</v>
      </c>
      <c r="X66" s="246">
        <f t="shared" si="24"/>
        <v>23.933479383909436</v>
      </c>
      <c r="Y66" s="246">
        <f t="shared" si="24"/>
        <v>24.172814177748528</v>
      </c>
      <c r="Z66" s="246">
        <f t="shared" si="24"/>
        <v>24.414542319526014</v>
      </c>
      <c r="AA66" s="246">
        <f t="shared" si="24"/>
        <v>24.658687742721273</v>
      </c>
      <c r="AB66" s="246">
        <f t="shared" si="24"/>
        <v>24.905274620148486</v>
      </c>
      <c r="AC66" s="246">
        <f t="shared" si="24"/>
        <v>25.154327366349971</v>
      </c>
      <c r="AD66" s="246">
        <f t="shared" si="24"/>
        <v>25.405870640013468</v>
      </c>
      <c r="AE66" s="246">
        <f t="shared" si="24"/>
        <v>25.659929346413602</v>
      </c>
      <c r="AF66" s="246">
        <f t="shared" si="24"/>
        <v>25.916528639877736</v>
      </c>
      <c r="AG66" s="246">
        <f t="shared" si="24"/>
        <v>26.175693926276516</v>
      </c>
      <c r="AH66" s="246">
        <f t="shared" si="24"/>
        <v>26.437450865539279</v>
      </c>
      <c r="AI66" s="246">
        <f t="shared" si="24"/>
        <v>26.701825374194673</v>
      </c>
      <c r="AJ66" s="246">
        <f t="shared" si="24"/>
        <v>26.968843627936618</v>
      </c>
      <c r="AK66" s="246">
        <f t="shared" si="24"/>
        <v>27.238532064215985</v>
      </c>
      <c r="AL66" s="246">
        <f t="shared" si="24"/>
        <v>27.510917384858143</v>
      </c>
      <c r="AM66" s="246">
        <f t="shared" si="24"/>
        <v>27.786026558706723</v>
      </c>
      <c r="AN66" s="246">
        <f t="shared" si="24"/>
        <v>28.063886824293792</v>
      </c>
      <c r="AO66" s="246">
        <f t="shared" si="24"/>
        <v>28.344525692536727</v>
      </c>
      <c r="AP66" s="246">
        <f t="shared" si="24"/>
        <v>28.627970949462096</v>
      </c>
      <c r="AQ66" s="246">
        <f t="shared" si="24"/>
        <v>28.914250658956714</v>
      </c>
    </row>
    <row r="67" spans="1:44" x14ac:dyDescent="0.3">
      <c r="A67" t="s">
        <v>567</v>
      </c>
      <c r="C67" s="246">
        <f>' Transport (GWh)'!C176</f>
        <v>26.111111111111114</v>
      </c>
      <c r="D67" s="246">
        <f>' Transport (GWh)'!D176</f>
        <v>29.006249999999998</v>
      </c>
      <c r="E67" s="246">
        <f>' Transport (GWh)'!E176</f>
        <v>37.752361111111114</v>
      </c>
      <c r="F67" s="246">
        <f>' Transport (GWh)'!F176</f>
        <v>44.362499999999997</v>
      </c>
      <c r="G67" s="246">
        <f>' Transport (GWh)'!G176</f>
        <v>53.058055555555569</v>
      </c>
      <c r="H67" s="246">
        <f>' Transport (GWh)'!H176</f>
        <v>63.282916666666665</v>
      </c>
      <c r="I67" s="246">
        <f>' Transport (GWh)'!I176</f>
        <v>71.111111111111114</v>
      </c>
      <c r="J67" s="246">
        <f>' Transport (GWh)'!J176</f>
        <v>85</v>
      </c>
      <c r="K67" s="246">
        <f>' Transport (GWh)'!K176</f>
        <v>102.5</v>
      </c>
      <c r="L67" s="246">
        <f>' Transport (GWh)'!L176</f>
        <v>122.22222222222221</v>
      </c>
      <c r="M67" s="246">
        <f>' Transport (GWh)'!M176</f>
        <v>117.5</v>
      </c>
      <c r="N67" s="246">
        <f>' Transport (GWh)'!N176</f>
        <v>121.3888888888889</v>
      </c>
      <c r="O67" s="246">
        <f t="shared" si="24"/>
        <v>122.60277777777779</v>
      </c>
      <c r="P67" s="246">
        <f t="shared" si="24"/>
        <v>123.82880555555556</v>
      </c>
      <c r="Q67" s="246">
        <f t="shared" si="24"/>
        <v>125.06709361111112</v>
      </c>
      <c r="R67" s="246">
        <f t="shared" si="24"/>
        <v>126.31776454722224</v>
      </c>
      <c r="S67" s="246">
        <f t="shared" si="24"/>
        <v>127.58094219269447</v>
      </c>
      <c r="T67" s="246">
        <f t="shared" si="24"/>
        <v>128.8567516146214</v>
      </c>
      <c r="U67" s="246">
        <f t="shared" si="24"/>
        <v>130.14531913076763</v>
      </c>
      <c r="V67" s="246">
        <f t="shared" si="24"/>
        <v>131.4467723220753</v>
      </c>
      <c r="W67" s="246">
        <f t="shared" si="24"/>
        <v>132.76124004529606</v>
      </c>
      <c r="X67" s="246">
        <f t="shared" si="24"/>
        <v>134.08885244574901</v>
      </c>
      <c r="Y67" s="246">
        <f t="shared" si="24"/>
        <v>135.4297409702065</v>
      </c>
      <c r="Z67" s="246">
        <f t="shared" si="24"/>
        <v>136.78403837990857</v>
      </c>
      <c r="AA67" s="246">
        <f t="shared" si="24"/>
        <v>138.15187876370766</v>
      </c>
      <c r="AB67" s="246">
        <f t="shared" si="24"/>
        <v>139.53339755134473</v>
      </c>
      <c r="AC67" s="246">
        <f t="shared" si="24"/>
        <v>140.92873152685817</v>
      </c>
      <c r="AD67" s="246">
        <f t="shared" si="24"/>
        <v>142.33801884212673</v>
      </c>
      <c r="AE67" s="246">
        <f t="shared" si="24"/>
        <v>143.76139903054801</v>
      </c>
      <c r="AF67" s="246">
        <f t="shared" si="24"/>
        <v>145.19901302085347</v>
      </c>
      <c r="AG67" s="246">
        <f t="shared" si="24"/>
        <v>146.65100315106201</v>
      </c>
      <c r="AH67" s="246">
        <f t="shared" si="24"/>
        <v>148.11751318257262</v>
      </c>
      <c r="AI67" s="246">
        <f t="shared" si="24"/>
        <v>149.59868831439834</v>
      </c>
      <c r="AJ67" s="246">
        <f t="shared" si="24"/>
        <v>151.09467519754233</v>
      </c>
      <c r="AK67" s="246">
        <f t="shared" si="24"/>
        <v>152.60562194951777</v>
      </c>
      <c r="AL67" s="246">
        <f t="shared" si="24"/>
        <v>154.13167816901293</v>
      </c>
      <c r="AM67" s="246">
        <f t="shared" si="24"/>
        <v>155.67299495070307</v>
      </c>
      <c r="AN67" s="246">
        <f t="shared" si="24"/>
        <v>157.2297249002101</v>
      </c>
      <c r="AO67" s="246">
        <f t="shared" si="24"/>
        <v>158.80202214921221</v>
      </c>
      <c r="AP67" s="246">
        <f t="shared" si="24"/>
        <v>160.39004237070432</v>
      </c>
      <c r="AQ67" s="246">
        <f t="shared" si="24"/>
        <v>161.99394279441134</v>
      </c>
    </row>
    <row r="68" spans="1:44" x14ac:dyDescent="0.3">
      <c r="A68" t="s">
        <v>568</v>
      </c>
      <c r="C68" s="246">
        <f>' Transport (GWh)'!C177</f>
        <v>0.55555555555555558</v>
      </c>
      <c r="D68" s="246">
        <f>' Transport (GWh)'!D177</f>
        <v>3.0555555555555554</v>
      </c>
      <c r="E68" s="246">
        <f>' Transport (GWh)'!E177</f>
        <v>6.3888888888888884</v>
      </c>
      <c r="F68" s="246">
        <f>' Transport (GWh)'!F177</f>
        <v>10</v>
      </c>
      <c r="G68" s="246">
        <f>' Transport (GWh)'!G177</f>
        <v>18.333333333333332</v>
      </c>
      <c r="H68" s="246">
        <f>' Transport (GWh)'!H177</f>
        <v>32.222222222222214</v>
      </c>
      <c r="I68" s="246">
        <f>' Transport (GWh)'!I177</f>
        <v>48.055555555555564</v>
      </c>
      <c r="J68" s="246">
        <f>' Transport (GWh)'!J177</f>
        <v>54.444444444444443</v>
      </c>
      <c r="K68" s="246">
        <f>' Transport (GWh)'!K177</f>
        <v>82.777777777777771</v>
      </c>
      <c r="L68" s="246">
        <f>' Transport (GWh)'!L177</f>
        <v>106.94444444444444</v>
      </c>
      <c r="M68" s="246">
        <f>' Transport (GWh)'!M177</f>
        <v>180.83333333333334</v>
      </c>
      <c r="N68" s="246">
        <f>' Transport (GWh)'!N177</f>
        <v>200</v>
      </c>
      <c r="O68" s="246">
        <f t="shared" si="24"/>
        <v>202</v>
      </c>
      <c r="P68" s="246">
        <f t="shared" si="24"/>
        <v>204.01999999999998</v>
      </c>
      <c r="Q68" s="246">
        <f t="shared" si="24"/>
        <v>206.06020000000001</v>
      </c>
      <c r="R68" s="246">
        <f t="shared" si="24"/>
        <v>208.12080200000003</v>
      </c>
      <c r="S68" s="246">
        <f t="shared" si="24"/>
        <v>210.20201002000002</v>
      </c>
      <c r="T68" s="246">
        <f t="shared" si="24"/>
        <v>212.30403012020003</v>
      </c>
      <c r="U68" s="246">
        <f t="shared" si="24"/>
        <v>214.42707042140202</v>
      </c>
      <c r="V68" s="246">
        <f t="shared" si="24"/>
        <v>216.57134112561604</v>
      </c>
      <c r="W68" s="246">
        <f t="shared" si="24"/>
        <v>218.73705453687222</v>
      </c>
      <c r="X68" s="246">
        <f t="shared" si="24"/>
        <v>220.92442508224093</v>
      </c>
      <c r="Y68" s="246">
        <f t="shared" si="24"/>
        <v>223.13366933306332</v>
      </c>
      <c r="Z68" s="246">
        <f t="shared" si="24"/>
        <v>225.36500602639396</v>
      </c>
      <c r="AA68" s="246">
        <f t="shared" si="24"/>
        <v>227.61865608665789</v>
      </c>
      <c r="AB68" s="246">
        <f t="shared" si="24"/>
        <v>229.89484264752448</v>
      </c>
      <c r="AC68" s="246">
        <f t="shared" si="24"/>
        <v>232.19379107399971</v>
      </c>
      <c r="AD68" s="246">
        <f t="shared" si="24"/>
        <v>234.5157289847397</v>
      </c>
      <c r="AE68" s="246">
        <f t="shared" si="24"/>
        <v>236.86088627458707</v>
      </c>
      <c r="AF68" s="246">
        <f t="shared" si="24"/>
        <v>239.22949513733295</v>
      </c>
      <c r="AG68" s="246">
        <f t="shared" si="24"/>
        <v>241.62179008870626</v>
      </c>
      <c r="AH68" s="246">
        <f t="shared" si="24"/>
        <v>244.03800798959332</v>
      </c>
      <c r="AI68" s="246">
        <f t="shared" si="24"/>
        <v>246.47838806948926</v>
      </c>
      <c r="AJ68" s="246">
        <f t="shared" si="24"/>
        <v>248.94317195018417</v>
      </c>
      <c r="AK68" s="246">
        <f t="shared" si="24"/>
        <v>251.43260366968599</v>
      </c>
      <c r="AL68" s="246">
        <f t="shared" si="24"/>
        <v>253.94692970638286</v>
      </c>
      <c r="AM68" s="246">
        <f t="shared" si="24"/>
        <v>256.48639900344665</v>
      </c>
      <c r="AN68" s="246">
        <f t="shared" si="24"/>
        <v>259.05126299348115</v>
      </c>
      <c r="AO68" s="246">
        <f t="shared" si="24"/>
        <v>261.64177562341592</v>
      </c>
      <c r="AP68" s="246">
        <f t="shared" si="24"/>
        <v>264.25819337965009</v>
      </c>
      <c r="AQ68" s="246">
        <f t="shared" si="24"/>
        <v>266.90077531344656</v>
      </c>
    </row>
    <row r="69" spans="1:44" x14ac:dyDescent="0.3">
      <c r="A69" t="s">
        <v>569</v>
      </c>
      <c r="C69" s="246">
        <f>' Transport (GWh)'!C182</f>
        <v>0.55555555555555558</v>
      </c>
      <c r="D69" s="246">
        <f>' Transport (GWh)'!D182</f>
        <v>0.55555555555555558</v>
      </c>
      <c r="E69" s="246">
        <f>' Transport (GWh)'!E182</f>
        <v>0.55555555555555558</v>
      </c>
      <c r="F69" s="246">
        <f>' Transport (GWh)'!F182</f>
        <v>0.55555555555555558</v>
      </c>
      <c r="G69" s="246">
        <f>' Transport (GWh)'!G182</f>
        <v>0.55555555555555558</v>
      </c>
      <c r="H69" s="246">
        <f>' Transport (GWh)'!H182</f>
        <v>0.55555555555555558</v>
      </c>
      <c r="I69" s="246">
        <f>' Transport (GWh)'!I182</f>
        <v>0.55555555555555558</v>
      </c>
      <c r="J69" s="246">
        <f>' Transport (GWh)'!J182</f>
        <v>0.55555555555555558</v>
      </c>
      <c r="K69" s="246">
        <f>' Transport (GWh)'!K182</f>
        <v>0.55555555555555558</v>
      </c>
      <c r="L69" s="246">
        <f>' Transport (GWh)'!L182</f>
        <v>59.999999999999993</v>
      </c>
      <c r="M69" s="246">
        <f>' Transport (GWh)'!M182</f>
        <v>97.5</v>
      </c>
      <c r="N69" s="246">
        <f>' Transport (GWh)'!N182</f>
        <v>137.5</v>
      </c>
      <c r="O69" s="246">
        <f t="shared" si="24"/>
        <v>140.26375000000002</v>
      </c>
      <c r="P69" s="246">
        <f t="shared" si="24"/>
        <v>143.083051375</v>
      </c>
      <c r="Q69" s="246">
        <f t="shared" si="24"/>
        <v>145.95902070763751</v>
      </c>
      <c r="R69" s="246">
        <f t="shared" si="24"/>
        <v>148.89279702386102</v>
      </c>
      <c r="S69" s="246">
        <f t="shared" si="24"/>
        <v>151.88554224404064</v>
      </c>
      <c r="T69" s="246">
        <f t="shared" si="24"/>
        <v>154.93844164314586</v>
      </c>
      <c r="U69" s="246">
        <f t="shared" si="24"/>
        <v>158.05270432017309</v>
      </c>
      <c r="V69" s="246">
        <f t="shared" si="24"/>
        <v>161.22956367700857</v>
      </c>
      <c r="W69" s="246">
        <f t="shared" si="24"/>
        <v>164.47027790691646</v>
      </c>
      <c r="X69" s="246">
        <f t="shared" si="24"/>
        <v>167.77613049284548</v>
      </c>
      <c r="Y69" s="246">
        <f t="shared" si="24"/>
        <v>171.14843071575169</v>
      </c>
      <c r="Z69" s="246">
        <f t="shared" si="24"/>
        <v>174.58851417313829</v>
      </c>
      <c r="AA69" s="246">
        <f t="shared" si="24"/>
        <v>178.09774330801835</v>
      </c>
      <c r="AB69" s="246">
        <f t="shared" si="24"/>
        <v>181.67750794850951</v>
      </c>
      <c r="AC69" s="246">
        <f t="shared" si="24"/>
        <v>185.32922585827453</v>
      </c>
      <c r="AD69" s="246">
        <f t="shared" si="24"/>
        <v>189.05434329802586</v>
      </c>
      <c r="AE69" s="246">
        <f t="shared" si="24"/>
        <v>192.85433559831617</v>
      </c>
      <c r="AF69" s="246">
        <f t="shared" si="24"/>
        <v>196.73070774384229</v>
      </c>
      <c r="AG69" s="246">
        <f t="shared" si="24"/>
        <v>200.68499496949352</v>
      </c>
      <c r="AH69" s="246">
        <f t="shared" si="24"/>
        <v>204.71876336838034</v>
      </c>
      <c r="AI69" s="246">
        <f t="shared" si="24"/>
        <v>208.83361051208479</v>
      </c>
      <c r="AJ69" s="246">
        <f t="shared" si="24"/>
        <v>213.03116608337768</v>
      </c>
      <c r="AK69" s="246">
        <f t="shared" si="24"/>
        <v>217.31309252165354</v>
      </c>
      <c r="AL69" s="246">
        <f t="shared" si="24"/>
        <v>221.6810856813388</v>
      </c>
      <c r="AM69" s="246">
        <f t="shared" si="24"/>
        <v>226.13687550353367</v>
      </c>
      <c r="AN69" s="246">
        <f t="shared" si="24"/>
        <v>230.68222670115472</v>
      </c>
      <c r="AO69" s="246">
        <f t="shared" si="24"/>
        <v>235.3189394578479</v>
      </c>
      <c r="AP69" s="246">
        <f t="shared" si="24"/>
        <v>240.04885014095063</v>
      </c>
      <c r="AQ69" s="246">
        <f t="shared" si="24"/>
        <v>244.87383202878374</v>
      </c>
    </row>
    <row r="70" spans="1:44" x14ac:dyDescent="0.3">
      <c r="A70" s="330" t="s">
        <v>570</v>
      </c>
      <c r="C70" s="246">
        <f>' Transport (GWh)'!C180</f>
        <v>46.52</v>
      </c>
      <c r="D70" s="246">
        <f>' Transport (GWh)'!D180</f>
        <v>46.52</v>
      </c>
      <c r="E70" s="246">
        <f>' Transport (GWh)'!E180</f>
        <v>46.52</v>
      </c>
      <c r="F70" s="246">
        <f>' Transport (GWh)'!F180</f>
        <v>34.89</v>
      </c>
      <c r="G70" s="246">
        <f>' Transport (GWh)'!G180</f>
        <v>58.15</v>
      </c>
      <c r="H70" s="246">
        <f>' Transport (GWh)'!H180</f>
        <v>34.89</v>
      </c>
      <c r="I70" s="246">
        <f>' Transport (GWh)'!I180</f>
        <v>22.222222222222221</v>
      </c>
      <c r="J70" s="246">
        <f>' Transport (GWh)'!J180</f>
        <v>11.111111111111111</v>
      </c>
      <c r="K70" s="246">
        <f>' Transport (GWh)'!K180</f>
        <v>56.944444444444443</v>
      </c>
      <c r="L70" s="246">
        <f>' Transport (GWh)'!L180</f>
        <v>85.833333333333329</v>
      </c>
      <c r="M70" s="246">
        <f>' Transport (GWh)'!M180</f>
        <v>71.944444444444443</v>
      </c>
      <c r="N70" s="246">
        <f>' Transport (GWh)'!N180</f>
        <v>49.166666666666664</v>
      </c>
      <c r="O70" s="246">
        <f t="shared" si="24"/>
        <v>48.168583333333331</v>
      </c>
      <c r="P70" s="246">
        <f t="shared" si="24"/>
        <v>47.190761091666658</v>
      </c>
      <c r="Q70" s="246">
        <f t="shared" si="24"/>
        <v>46.232788641505827</v>
      </c>
      <c r="R70" s="246">
        <f t="shared" si="24"/>
        <v>45.294263032083258</v>
      </c>
      <c r="S70" s="246">
        <f t="shared" si="24"/>
        <v>44.374789492531967</v>
      </c>
      <c r="T70" s="246">
        <f t="shared" si="24"/>
        <v>43.473981265833565</v>
      </c>
      <c r="U70" s="246">
        <f t="shared" si="24"/>
        <v>42.591459446137144</v>
      </c>
      <c r="V70" s="246">
        <f t="shared" si="24"/>
        <v>41.726852819380561</v>
      </c>
      <c r="W70" s="246">
        <f t="shared" si="24"/>
        <v>40.879797707147134</v>
      </c>
      <c r="X70" s="246">
        <f t="shared" si="24"/>
        <v>40.049937813692047</v>
      </c>
      <c r="Y70" s="246">
        <f t="shared" si="24"/>
        <v>39.236924076074096</v>
      </c>
      <c r="Z70" s="246">
        <f t="shared" si="24"/>
        <v>38.440414517329792</v>
      </c>
      <c r="AA70" s="246">
        <f t="shared" si="24"/>
        <v>37.660074102627995</v>
      </c>
      <c r="AB70" s="246">
        <f t="shared" si="24"/>
        <v>36.895574598344645</v>
      </c>
      <c r="AC70" s="246">
        <f t="shared" si="24"/>
        <v>36.146594433998246</v>
      </c>
      <c r="AD70" s="246">
        <f t="shared" si="24"/>
        <v>35.412818566988079</v>
      </c>
      <c r="AE70" s="246">
        <f t="shared" si="24"/>
        <v>34.69393835007822</v>
      </c>
      <c r="AF70" s="246">
        <f t="shared" si="24"/>
        <v>33.989651401571628</v>
      </c>
      <c r="AG70" s="246">
        <f t="shared" si="24"/>
        <v>33.299661478119724</v>
      </c>
      <c r="AH70" s="246">
        <f t="shared" si="24"/>
        <v>32.623678350113892</v>
      </c>
      <c r="AI70" s="246">
        <f t="shared" si="24"/>
        <v>31.961417679606576</v>
      </c>
      <c r="AJ70" s="246">
        <f t="shared" si="24"/>
        <v>31.312600900710564</v>
      </c>
      <c r="AK70" s="246">
        <f t="shared" si="24"/>
        <v>30.676955102426135</v>
      </c>
      <c r="AL70" s="246">
        <f t="shared" si="24"/>
        <v>30.054212913846882</v>
      </c>
      <c r="AM70" s="246">
        <f t="shared" si="24"/>
        <v>29.444112391695789</v>
      </c>
      <c r="AN70" s="246">
        <f t="shared" si="24"/>
        <v>28.84639691014436</v>
      </c>
      <c r="AO70" s="246">
        <f t="shared" si="24"/>
        <v>28.260815052868431</v>
      </c>
      <c r="AP70" s="246">
        <f t="shared" si="24"/>
        <v>27.687120507295198</v>
      </c>
      <c r="AQ70" s="246">
        <f t="shared" si="24"/>
        <v>27.125071960997104</v>
      </c>
    </row>
    <row r="71" spans="1:44" x14ac:dyDescent="0.3">
      <c r="A71" s="330" t="s">
        <v>571</v>
      </c>
      <c r="C71" s="246">
        <f>' Transport (GWh)'!C181</f>
        <v>37.777777777777779</v>
      </c>
      <c r="D71" s="246">
        <f>' Transport (GWh)'!D181</f>
        <v>7.4999999999999991</v>
      </c>
      <c r="E71" s="246">
        <f>' Transport (GWh)'!E181</f>
        <v>0</v>
      </c>
      <c r="F71" s="246">
        <f>' Transport (GWh)'!F181</f>
        <v>0</v>
      </c>
      <c r="G71" s="246">
        <f>' Transport (GWh)'!G181</f>
        <v>0</v>
      </c>
      <c r="H71" s="246">
        <f>' Transport (GWh)'!H181</f>
        <v>0</v>
      </c>
      <c r="I71" s="246">
        <f>' Transport (GWh)'!I181</f>
        <v>0</v>
      </c>
      <c r="J71" s="246">
        <f>' Transport (GWh)'!J181</f>
        <v>17.5</v>
      </c>
      <c r="K71" s="246">
        <f>' Transport (GWh)'!K181</f>
        <v>146.11111111111111</v>
      </c>
      <c r="L71" s="246">
        <f>' Transport (GWh)'!L181</f>
        <v>232.77777777777777</v>
      </c>
      <c r="M71" s="246">
        <f>' Transport (GWh)'!M181</f>
        <v>380.83333333333326</v>
      </c>
      <c r="N71" s="246">
        <f>' Transport (GWh)'!N181</f>
        <v>434.44444444444446</v>
      </c>
      <c r="O71" s="246">
        <f t="shared" si="24"/>
        <v>440.98283333333325</v>
      </c>
      <c r="P71" s="246">
        <f t="shared" si="24"/>
        <v>447.61962497499985</v>
      </c>
      <c r="Q71" s="246">
        <f t="shared" si="24"/>
        <v>454.35630033087364</v>
      </c>
      <c r="R71" s="246">
        <f t="shared" si="24"/>
        <v>461.19436265085324</v>
      </c>
      <c r="S71" s="246">
        <f t="shared" si="24"/>
        <v>468.13533780874855</v>
      </c>
      <c r="T71" s="246">
        <f t="shared" si="24"/>
        <v>475.18077464277019</v>
      </c>
      <c r="U71" s="246">
        <f t="shared" si="24"/>
        <v>482.33224530114381</v>
      </c>
      <c r="V71" s="246">
        <f t="shared" si="24"/>
        <v>489.59134559292602</v>
      </c>
      <c r="W71" s="246">
        <f t="shared" si="24"/>
        <v>496.95969534409949</v>
      </c>
      <c r="X71" s="246">
        <f t="shared" si="24"/>
        <v>504.43893875902813</v>
      </c>
      <c r="Y71" s="246">
        <f t="shared" si="24"/>
        <v>512.03074478735141</v>
      </c>
      <c r="Z71" s="246">
        <f t="shared" si="24"/>
        <v>519.73680749640096</v>
      </c>
      <c r="AA71" s="246">
        <f t="shared" si="24"/>
        <v>527.55884644922173</v>
      </c>
      <c r="AB71" s="246">
        <f t="shared" si="24"/>
        <v>535.49860708828248</v>
      </c>
      <c r="AC71" s="246">
        <f t="shared" si="24"/>
        <v>543.55786112496105</v>
      </c>
      <c r="AD71" s="246">
        <f t="shared" si="24"/>
        <v>551.7384069348916</v>
      </c>
      <c r="AE71" s="246">
        <f t="shared" si="24"/>
        <v>560.04206995926154</v>
      </c>
      <c r="AF71" s="246">
        <f t="shared" si="24"/>
        <v>568.47070311214839</v>
      </c>
      <c r="AG71" s="246">
        <f t="shared" si="24"/>
        <v>577.02618719398617</v>
      </c>
      <c r="AH71" s="246">
        <f t="shared" si="24"/>
        <v>585.71043131125566</v>
      </c>
      <c r="AI71" s="246">
        <f t="shared" si="24"/>
        <v>594.52537330248992</v>
      </c>
      <c r="AJ71" s="246">
        <f t="shared" si="24"/>
        <v>603.47298017069238</v>
      </c>
      <c r="AK71" s="246">
        <f t="shared" si="24"/>
        <v>612.55524852226119</v>
      </c>
      <c r="AL71" s="246">
        <f t="shared" si="24"/>
        <v>621.77420501252118</v>
      </c>
      <c r="AM71" s="246">
        <f t="shared" si="24"/>
        <v>631.13190679795957</v>
      </c>
      <c r="AN71" s="246">
        <f t="shared" si="24"/>
        <v>640.63044199526871</v>
      </c>
      <c r="AO71" s="246">
        <f t="shared" si="24"/>
        <v>650.27193014729744</v>
      </c>
      <c r="AP71" s="246">
        <f t="shared" si="24"/>
        <v>660.05852269601417</v>
      </c>
      <c r="AQ71" s="246">
        <f t="shared" si="24"/>
        <v>669.9924034625891</v>
      </c>
    </row>
    <row r="72" spans="1:44" x14ac:dyDescent="0.3">
      <c r="A72" s="330" t="s">
        <v>544</v>
      </c>
      <c r="C72" s="246">
        <f>' Transport (GWh)'!C178+' Transport (GWh)'!C190</f>
        <v>37.055555555555557</v>
      </c>
      <c r="D72" s="246">
        <f>' Transport (GWh)'!D178+' Transport (GWh)'!D190</f>
        <v>34</v>
      </c>
      <c r="E72" s="246">
        <f>' Transport (GWh)'!E178+' Transport (GWh)'!E190</f>
        <v>34</v>
      </c>
      <c r="F72" s="246">
        <f>' Transport (GWh)'!F178+' Transport (GWh)'!F190</f>
        <v>36</v>
      </c>
      <c r="G72" s="246">
        <f>' Transport (GWh)'!G178+' Transport (GWh)'!G190</f>
        <v>25</v>
      </c>
      <c r="H72" s="246">
        <f>' Transport (GWh)'!H178+' Transport (GWh)'!H190</f>
        <v>23</v>
      </c>
      <c r="I72" s="246">
        <f>' Transport (GWh)'!I178+' Transport (GWh)'!I190</f>
        <v>23</v>
      </c>
      <c r="J72" s="246">
        <f>' Transport (GWh)'!J178+' Transport (GWh)'!J190</f>
        <v>29</v>
      </c>
      <c r="K72" s="246">
        <f>' Transport (GWh)'!K178+' Transport (GWh)'!K190</f>
        <v>27</v>
      </c>
      <c r="L72" s="246">
        <f>' Transport (GWh)'!L178+' Transport (GWh)'!L190</f>
        <v>29</v>
      </c>
      <c r="M72" s="246">
        <f>' Transport (GWh)'!M178+' Transport (GWh)'!M190</f>
        <v>25.833333333333336</v>
      </c>
      <c r="N72" s="246">
        <f>' Transport (GWh)'!N178+' Transport (GWh)'!N190</f>
        <v>30</v>
      </c>
      <c r="O72" s="246">
        <f>O$73*O85</f>
        <v>66.227944444446607</v>
      </c>
      <c r="P72" s="246">
        <f t="shared" si="24"/>
        <v>100.81186421388905</v>
      </c>
      <c r="Q72" s="246">
        <f t="shared" si="24"/>
        <v>133.7565453513858</v>
      </c>
      <c r="R72" s="246">
        <f t="shared" si="24"/>
        <v>165.06609167139371</v>
      </c>
      <c r="S72" s="246">
        <f t="shared" si="24"/>
        <v>194.74392814096424</v>
      </c>
      <c r="T72" s="246">
        <f t="shared" si="24"/>
        <v>222.79280401577219</v>
      </c>
      <c r="U72" s="246">
        <f t="shared" si="24"/>
        <v>249.2147957331502</v>
      </c>
      <c r="V72" s="246">
        <f t="shared" si="24"/>
        <v>274.0113095640852</v>
      </c>
      <c r="W72" s="246">
        <f t="shared" si="24"/>
        <v>297.18308402608079</v>
      </c>
      <c r="X72" s="246">
        <f t="shared" si="24"/>
        <v>318.73019205873152</v>
      </c>
      <c r="Y72" s="246">
        <f t="shared" si="24"/>
        <v>338.6520429637207</v>
      </c>
      <c r="Z72" s="246">
        <f t="shared" si="24"/>
        <v>356.94738411088809</v>
      </c>
      <c r="AA72" s="246">
        <f t="shared" si="24"/>
        <v>373.61430241196371</v>
      </c>
      <c r="AB72" s="246">
        <f t="shared" si="24"/>
        <v>388.65022556339983</v>
      </c>
      <c r="AC72" s="246">
        <f t="shared" si="24"/>
        <v>402.0519230597468</v>
      </c>
      <c r="AD72" s="246">
        <f t="shared" si="24"/>
        <v>413.81550697887144</v>
      </c>
      <c r="AE72" s="246">
        <f t="shared" si="24"/>
        <v>423.93643254023584</v>
      </c>
      <c r="AF72" s="246">
        <f t="shared" si="24"/>
        <v>432.40949843743294</v>
      </c>
      <c r="AG72" s="246">
        <f t="shared" si="24"/>
        <v>439.22884694601748</v>
      </c>
      <c r="AH72" s="246">
        <f t="shared" si="24"/>
        <v>444.38796380765939</v>
      </c>
      <c r="AI72" s="246">
        <f t="shared" si="24"/>
        <v>447.87967789152435</v>
      </c>
      <c r="AJ72" s="246">
        <f t="shared" si="24"/>
        <v>449.69616063372433</v>
      </c>
      <c r="AK72" s="246">
        <f t="shared" si="24"/>
        <v>449.82892525562937</v>
      </c>
      <c r="AL72" s="246">
        <f t="shared" si="24"/>
        <v>448.26882576167526</v>
      </c>
      <c r="AM72" s="246">
        <f t="shared" si="24"/>
        <v>445.00605571737242</v>
      </c>
      <c r="AN72" s="246">
        <f t="shared" si="24"/>
        <v>440.03014680794911</v>
      </c>
      <c r="AO72" s="246">
        <f t="shared" si="24"/>
        <v>433.32996717818844</v>
      </c>
      <c r="AP72" s="246">
        <f t="shared" si="24"/>
        <v>424.89371955379147</v>
      </c>
      <c r="AQ72" s="246">
        <f t="shared" si="24"/>
        <v>414.70893914460953</v>
      </c>
      <c r="AR72" s="246"/>
    </row>
    <row r="73" spans="1:44" x14ac:dyDescent="0.3">
      <c r="A73" t="s">
        <v>572</v>
      </c>
      <c r="C73" s="310">
        <f>SUM(C64:C72)</f>
        <v>8735.6295555555535</v>
      </c>
      <c r="D73" s="310">
        <f t="shared" ref="D73:M73" si="25">SUM(D64:D72)</f>
        <v>8679.2851388888866</v>
      </c>
      <c r="E73" s="310">
        <f t="shared" si="25"/>
        <v>8771.1790277777764</v>
      </c>
      <c r="F73" s="310">
        <f t="shared" si="25"/>
        <v>8568.4447222222207</v>
      </c>
      <c r="G73" s="310">
        <f t="shared" si="25"/>
        <v>8598.3524999999972</v>
      </c>
      <c r="H73" s="310">
        <f t="shared" si="25"/>
        <v>8820.8640277777777</v>
      </c>
      <c r="I73" s="310">
        <f t="shared" si="25"/>
        <v>9015.1986488888888</v>
      </c>
      <c r="J73" s="310">
        <f t="shared" si="25"/>
        <v>9334.0324999999993</v>
      </c>
      <c r="K73" s="310">
        <f t="shared" si="25"/>
        <v>9660.5539688888894</v>
      </c>
      <c r="L73" s="310">
        <f t="shared" si="25"/>
        <v>9680.8578888888896</v>
      </c>
      <c r="M73" s="337">
        <f t="shared" si="25"/>
        <v>9177.7777777777792</v>
      </c>
      <c r="N73" s="310">
        <f>SUM(N64:N72)</f>
        <v>9720.8333333333321</v>
      </c>
      <c r="O73" s="247">
        <f>N73*1.01</f>
        <v>9818.0416666666661</v>
      </c>
      <c r="P73" s="247">
        <f t="shared" ref="P73:AQ73" si="26">O73*1.01</f>
        <v>9916.2220833333322</v>
      </c>
      <c r="Q73" s="247">
        <f t="shared" si="26"/>
        <v>10015.384304166666</v>
      </c>
      <c r="R73" s="247">
        <f t="shared" si="26"/>
        <v>10115.538147208334</v>
      </c>
      <c r="S73" s="247">
        <f t="shared" si="26"/>
        <v>10216.693528680416</v>
      </c>
      <c r="T73" s="247">
        <f t="shared" si="26"/>
        <v>10318.860463967221</v>
      </c>
      <c r="U73" s="247">
        <f t="shared" si="26"/>
        <v>10422.049068606893</v>
      </c>
      <c r="V73" s="247">
        <f t="shared" si="26"/>
        <v>10526.269559292963</v>
      </c>
      <c r="W73" s="247">
        <f t="shared" si="26"/>
        <v>10631.532254885893</v>
      </c>
      <c r="X73" s="247">
        <f t="shared" si="26"/>
        <v>10737.847577434752</v>
      </c>
      <c r="Y73" s="247">
        <f t="shared" si="26"/>
        <v>10845.226053209099</v>
      </c>
      <c r="Z73" s="247">
        <f t="shared" si="26"/>
        <v>10953.678313741189</v>
      </c>
      <c r="AA73" s="247">
        <f t="shared" si="26"/>
        <v>11063.215096878601</v>
      </c>
      <c r="AB73" s="247">
        <f t="shared" si="26"/>
        <v>11173.847247847387</v>
      </c>
      <c r="AC73" s="247">
        <f t="shared" si="26"/>
        <v>11285.58572032586</v>
      </c>
      <c r="AD73" s="247">
        <f t="shared" si="26"/>
        <v>11398.441577529118</v>
      </c>
      <c r="AE73" s="247">
        <f t="shared" si="26"/>
        <v>11512.425993304409</v>
      </c>
      <c r="AF73" s="247">
        <f t="shared" si="26"/>
        <v>11627.550253237452</v>
      </c>
      <c r="AG73" s="247">
        <f t="shared" si="26"/>
        <v>11743.825755769827</v>
      </c>
      <c r="AH73" s="247">
        <f t="shared" si="26"/>
        <v>11861.264013327525</v>
      </c>
      <c r="AI73" s="247">
        <f t="shared" si="26"/>
        <v>11979.8766534608</v>
      </c>
      <c r="AJ73" s="247">
        <f t="shared" si="26"/>
        <v>12099.675419995408</v>
      </c>
      <c r="AK73" s="247">
        <f t="shared" si="26"/>
        <v>12220.672174195362</v>
      </c>
      <c r="AL73" s="247">
        <f t="shared" si="26"/>
        <v>12342.878895937316</v>
      </c>
      <c r="AM73" s="247">
        <f t="shared" si="26"/>
        <v>12466.307684896688</v>
      </c>
      <c r="AN73" s="247">
        <f t="shared" si="26"/>
        <v>12590.970761745655</v>
      </c>
      <c r="AO73" s="247">
        <f t="shared" si="26"/>
        <v>12716.880469363112</v>
      </c>
      <c r="AP73" s="247">
        <f t="shared" si="26"/>
        <v>12844.049274056742</v>
      </c>
      <c r="AQ73" s="247">
        <f t="shared" si="26"/>
        <v>12972.489766797309</v>
      </c>
    </row>
    <row r="74" spans="1:44" x14ac:dyDescent="0.3">
      <c r="A74" t="s">
        <v>573</v>
      </c>
      <c r="B74" s="311">
        <f>MEDIAN(D74:N74)</f>
        <v>1.0587725534807567E-2</v>
      </c>
      <c r="D74" s="312">
        <f>(D73-C73)/C73</f>
        <v>-6.449954901170658E-3</v>
      </c>
      <c r="E74" s="312">
        <f t="shared" ref="E74:N74" si="27">(E73-D73)/D73</f>
        <v>1.0587725534807567E-2</v>
      </c>
      <c r="F74" s="312">
        <f t="shared" si="27"/>
        <v>-2.3113689153249389E-2</v>
      </c>
      <c r="G74" s="312">
        <f t="shared" si="27"/>
        <v>3.4904558233550711E-3</v>
      </c>
      <c r="H74" s="312">
        <f t="shared" si="27"/>
        <v>2.5878390979874401E-2</v>
      </c>
      <c r="I74" s="312">
        <f t="shared" si="27"/>
        <v>2.2031245521882219E-2</v>
      </c>
      <c r="J74" s="312">
        <f t="shared" si="27"/>
        <v>3.536625908408645E-2</v>
      </c>
      <c r="K74" s="312">
        <f t="shared" si="27"/>
        <v>3.498182258192159E-2</v>
      </c>
      <c r="L74" s="312">
        <f t="shared" si="27"/>
        <v>2.1017345449740859E-3</v>
      </c>
      <c r="M74" s="312">
        <f>(M73-L73)/L73</f>
        <v>-5.1966480335231005E-2</v>
      </c>
      <c r="N74" s="312">
        <f t="shared" si="27"/>
        <v>5.9170702179176457E-2</v>
      </c>
      <c r="O74" s="312">
        <f>(O73-N73)/N73</f>
        <v>1.0000000000000064E-2</v>
      </c>
      <c r="AQ74" s="311">
        <f>(AQ69+AQ70+AQ71+AQ72)/AQ73</f>
        <v>0.10458287275503676</v>
      </c>
    </row>
    <row r="75" spans="1:44" x14ac:dyDescent="0.3"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9"/>
      <c r="P75" s="319"/>
    </row>
    <row r="76" spans="1:44" x14ac:dyDescent="0.3">
      <c r="A76" s="244" t="s">
        <v>546</v>
      </c>
      <c r="C76" s="256">
        <v>2010</v>
      </c>
      <c r="D76" s="256">
        <v>2011</v>
      </c>
      <c r="E76" s="256">
        <v>2012</v>
      </c>
      <c r="F76" s="256">
        <v>2013</v>
      </c>
      <c r="G76" s="256">
        <v>2014</v>
      </c>
      <c r="H76" s="256">
        <v>2015</v>
      </c>
      <c r="I76" s="256">
        <v>2016</v>
      </c>
      <c r="J76" s="256">
        <v>2017</v>
      </c>
      <c r="K76" s="256">
        <v>2018</v>
      </c>
      <c r="L76" s="256">
        <v>2019</v>
      </c>
      <c r="M76" s="256">
        <v>2020</v>
      </c>
      <c r="N76" s="256">
        <v>2021</v>
      </c>
      <c r="O76" s="256">
        <v>2022</v>
      </c>
      <c r="P76" s="256">
        <v>2023</v>
      </c>
      <c r="Q76" s="256">
        <v>2024</v>
      </c>
      <c r="R76" s="256">
        <v>2025</v>
      </c>
      <c r="S76" s="256">
        <v>2026</v>
      </c>
      <c r="T76" s="256">
        <v>2027</v>
      </c>
      <c r="U76" s="256">
        <v>2028</v>
      </c>
      <c r="V76" s="256">
        <v>2029</v>
      </c>
      <c r="W76" s="256">
        <v>2030</v>
      </c>
      <c r="X76" s="256">
        <v>2031</v>
      </c>
      <c r="Y76" s="256">
        <v>2032</v>
      </c>
      <c r="Z76" s="256">
        <v>2033</v>
      </c>
      <c r="AA76" s="256">
        <v>2034</v>
      </c>
      <c r="AB76" s="256">
        <v>2035</v>
      </c>
      <c r="AC76" s="256">
        <v>2036</v>
      </c>
      <c r="AD76" s="256">
        <v>2037</v>
      </c>
      <c r="AE76" s="256">
        <v>2038</v>
      </c>
      <c r="AF76" s="256">
        <v>2039</v>
      </c>
      <c r="AG76" s="256">
        <v>2040</v>
      </c>
      <c r="AH76" s="256">
        <v>2041</v>
      </c>
      <c r="AI76" s="256">
        <v>2042</v>
      </c>
      <c r="AJ76" s="256">
        <v>2043</v>
      </c>
      <c r="AK76" s="256">
        <v>2044</v>
      </c>
      <c r="AL76" s="256">
        <v>2045</v>
      </c>
      <c r="AM76" s="256">
        <v>2046</v>
      </c>
      <c r="AN76" s="256">
        <v>2047</v>
      </c>
      <c r="AO76" s="256">
        <v>2048</v>
      </c>
      <c r="AP76" s="256">
        <v>2049</v>
      </c>
      <c r="AQ76" s="256">
        <v>2050</v>
      </c>
    </row>
    <row r="77" spans="1:44" x14ac:dyDescent="0.3">
      <c r="A77" t="s">
        <v>564</v>
      </c>
      <c r="C77" s="268">
        <f t="shared" ref="C77:N77" si="28">C64/C$73</f>
        <v>0.38528671329240594</v>
      </c>
      <c r="D77" s="268">
        <f t="shared" si="28"/>
        <v>0.35909255391345041</v>
      </c>
      <c r="E77" s="268">
        <f t="shared" si="28"/>
        <v>0.3400024344250312</v>
      </c>
      <c r="F77" s="268">
        <f t="shared" si="28"/>
        <v>0.32665074930459476</v>
      </c>
      <c r="G77" s="268">
        <f t="shared" si="28"/>
        <v>0.32693601606948675</v>
      </c>
      <c r="H77" s="268">
        <f t="shared" si="28"/>
        <v>0.31730325737647802</v>
      </c>
      <c r="I77" s="268">
        <f t="shared" si="28"/>
        <v>0.32808792051879188</v>
      </c>
      <c r="J77" s="268">
        <f t="shared" si="28"/>
        <v>0.33259413275499572</v>
      </c>
      <c r="K77" s="268">
        <f t="shared" si="28"/>
        <v>0.32767847120879368</v>
      </c>
      <c r="L77" s="268">
        <f t="shared" si="28"/>
        <v>0.32825373683307979</v>
      </c>
      <c r="M77" s="268">
        <f t="shared" si="28"/>
        <v>0.27167070217917672</v>
      </c>
      <c r="N77" s="311">
        <f t="shared" si="28"/>
        <v>0.23889127018145451</v>
      </c>
      <c r="O77" s="268">
        <f>N77*0.97</f>
        <v>0.23172453207601088</v>
      </c>
      <c r="P77" s="268">
        <f t="shared" ref="P77:AQ77" si="29">O77*0.97</f>
        <v>0.22477279611373055</v>
      </c>
      <c r="Q77" s="268">
        <f t="shared" si="29"/>
        <v>0.21802961223031864</v>
      </c>
      <c r="R77" s="268">
        <f t="shared" si="29"/>
        <v>0.21148872386340908</v>
      </c>
      <c r="S77" s="268">
        <f t="shared" si="29"/>
        <v>0.2051440621475068</v>
      </c>
      <c r="T77" s="268">
        <f t="shared" si="29"/>
        <v>0.19898974028308158</v>
      </c>
      <c r="U77" s="268">
        <f t="shared" si="29"/>
        <v>0.19302004807458914</v>
      </c>
      <c r="V77" s="268">
        <f t="shared" si="29"/>
        <v>0.18722944663235147</v>
      </c>
      <c r="W77" s="268">
        <f t="shared" si="29"/>
        <v>0.18161256323338093</v>
      </c>
      <c r="X77" s="268">
        <f t="shared" si="29"/>
        <v>0.17616418633637951</v>
      </c>
      <c r="Y77" s="268">
        <f t="shared" si="29"/>
        <v>0.17087926074628812</v>
      </c>
      <c r="Z77" s="268">
        <f t="shared" si="29"/>
        <v>0.16575288292389947</v>
      </c>
      <c r="AA77" s="268">
        <f t="shared" si="29"/>
        <v>0.1607802964361825</v>
      </c>
      <c r="AB77" s="268">
        <f t="shared" si="29"/>
        <v>0.15595688754309703</v>
      </c>
      <c r="AC77" s="268">
        <f t="shared" si="29"/>
        <v>0.15127818091680412</v>
      </c>
      <c r="AD77" s="268">
        <f t="shared" si="29"/>
        <v>0.1467398354893</v>
      </c>
      <c r="AE77" s="268">
        <f t="shared" si="29"/>
        <v>0.14233764042462099</v>
      </c>
      <c r="AF77" s="268">
        <f t="shared" si="29"/>
        <v>0.13806751121188235</v>
      </c>
      <c r="AG77" s="268">
        <f t="shared" si="29"/>
        <v>0.13392548587552588</v>
      </c>
      <c r="AH77" s="268">
        <f t="shared" si="29"/>
        <v>0.12990772129926009</v>
      </c>
      <c r="AI77" s="268">
        <f t="shared" si="29"/>
        <v>0.12601048966028228</v>
      </c>
      <c r="AJ77" s="268">
        <f t="shared" si="29"/>
        <v>0.12223017497047381</v>
      </c>
      <c r="AK77" s="268">
        <f t="shared" si="29"/>
        <v>0.1185632697213596</v>
      </c>
      <c r="AL77" s="268">
        <f t="shared" si="29"/>
        <v>0.1150063716297188</v>
      </c>
      <c r="AM77" s="268">
        <f t="shared" si="29"/>
        <v>0.11155618048082723</v>
      </c>
      <c r="AN77" s="268">
        <f t="shared" si="29"/>
        <v>0.10820949506640241</v>
      </c>
      <c r="AO77" s="268">
        <f t="shared" si="29"/>
        <v>0.10496321021441034</v>
      </c>
      <c r="AP77" s="268">
        <f t="shared" si="29"/>
        <v>0.10181431390797803</v>
      </c>
      <c r="AQ77" s="268">
        <f t="shared" si="29"/>
        <v>9.8759884490738692E-2</v>
      </c>
    </row>
    <row r="78" spans="1:44" x14ac:dyDescent="0.3">
      <c r="A78" t="s">
        <v>565</v>
      </c>
      <c r="C78" s="268">
        <f t="shared" ref="C78:N85" si="30">C65/C$73</f>
        <v>0.59643348734797041</v>
      </c>
      <c r="D78" s="268">
        <f t="shared" si="30"/>
        <v>0.625454736551604</v>
      </c>
      <c r="E78" s="268">
        <f t="shared" si="30"/>
        <v>0.64435465085152854</v>
      </c>
      <c r="F78" s="268">
        <f t="shared" si="30"/>
        <v>0.65685782921644587</v>
      </c>
      <c r="G78" s="268">
        <f t="shared" si="30"/>
        <v>0.65320652997187556</v>
      </c>
      <c r="H78" s="268">
        <f t="shared" si="30"/>
        <v>0.66337038883867216</v>
      </c>
      <c r="I78" s="268">
        <f t="shared" si="30"/>
        <v>0.65212315213093852</v>
      </c>
      <c r="J78" s="268">
        <f t="shared" si="30"/>
        <v>0.64471197202281005</v>
      </c>
      <c r="K78" s="268">
        <f t="shared" si="30"/>
        <v>0.62762912970894214</v>
      </c>
      <c r="L78" s="268">
        <f t="shared" si="30"/>
        <v>0.60440752260695518</v>
      </c>
      <c r="M78" s="268">
        <f t="shared" si="30"/>
        <v>0.63153753026634363</v>
      </c>
      <c r="N78" s="311">
        <f t="shared" si="30"/>
        <v>0.65883697671095864</v>
      </c>
      <c r="O78" s="268">
        <f>N78*1.005</f>
        <v>0.66213116159451335</v>
      </c>
      <c r="P78" s="268">
        <f t="shared" ref="P78:AQ78" si="31">O78*1.005</f>
        <v>0.66544181740248587</v>
      </c>
      <c r="Q78" s="268">
        <f t="shared" si="31"/>
        <v>0.66876902648949821</v>
      </c>
      <c r="R78" s="268">
        <f t="shared" si="31"/>
        <v>0.67211287162194566</v>
      </c>
      <c r="S78" s="268">
        <f t="shared" si="31"/>
        <v>0.67547343598005527</v>
      </c>
      <c r="T78" s="268">
        <f t="shared" si="31"/>
        <v>0.6788508031599555</v>
      </c>
      <c r="U78" s="268">
        <f t="shared" si="31"/>
        <v>0.68224505717575523</v>
      </c>
      <c r="V78" s="268">
        <f t="shared" si="31"/>
        <v>0.6856562824616339</v>
      </c>
      <c r="W78" s="268">
        <f t="shared" si="31"/>
        <v>0.68908456387394201</v>
      </c>
      <c r="X78" s="268">
        <f t="shared" si="31"/>
        <v>0.69252998669331167</v>
      </c>
      <c r="Y78" s="268">
        <f t="shared" si="31"/>
        <v>0.69599263662677813</v>
      </c>
      <c r="Z78" s="268">
        <f t="shared" si="31"/>
        <v>0.69947259980991194</v>
      </c>
      <c r="AA78" s="268">
        <f t="shared" si="31"/>
        <v>0.7029699628089614</v>
      </c>
      <c r="AB78" s="268">
        <f t="shared" si="31"/>
        <v>0.70648481262300611</v>
      </c>
      <c r="AC78" s="268">
        <f t="shared" si="31"/>
        <v>0.71001723668612104</v>
      </c>
      <c r="AD78" s="268">
        <f t="shared" si="31"/>
        <v>0.7135673228695516</v>
      </c>
      <c r="AE78" s="268">
        <f t="shared" si="31"/>
        <v>0.71713515948389928</v>
      </c>
      <c r="AF78" s="268">
        <f t="shared" si="31"/>
        <v>0.72072083528131869</v>
      </c>
      <c r="AG78" s="268">
        <f t="shared" si="31"/>
        <v>0.72432443945772518</v>
      </c>
      <c r="AH78" s="268">
        <f t="shared" si="31"/>
        <v>0.72794606165501374</v>
      </c>
      <c r="AI78" s="268">
        <f t="shared" si="31"/>
        <v>0.73158579196328877</v>
      </c>
      <c r="AJ78" s="268">
        <f t="shared" si="31"/>
        <v>0.73524372092310508</v>
      </c>
      <c r="AK78" s="268">
        <f>AJ78*1.005</f>
        <v>0.7389199395277205</v>
      </c>
      <c r="AL78" s="268">
        <f t="shared" si="31"/>
        <v>0.74261453922535903</v>
      </c>
      <c r="AM78" s="268">
        <f t="shared" si="31"/>
        <v>0.74632761192148578</v>
      </c>
      <c r="AN78" s="268">
        <f t="shared" si="31"/>
        <v>0.75005924998109308</v>
      </c>
      <c r="AO78" s="268">
        <f t="shared" si="31"/>
        <v>0.7538095462309985</v>
      </c>
      <c r="AP78" s="268">
        <f t="shared" si="31"/>
        <v>0.75757859396215343</v>
      </c>
      <c r="AQ78" s="268">
        <f t="shared" si="31"/>
        <v>0.76136648693196407</v>
      </c>
    </row>
    <row r="79" spans="1:44" x14ac:dyDescent="0.3">
      <c r="A79" t="s">
        <v>566</v>
      </c>
      <c r="C79" s="313">
        <f t="shared" si="30"/>
        <v>1.2718030142354687E-3</v>
      </c>
      <c r="D79" s="313">
        <f t="shared" si="30"/>
        <v>1.5532513214373952E-3</v>
      </c>
      <c r="E79" s="313">
        <f t="shared" si="30"/>
        <v>1.3669770007006378E-3</v>
      </c>
      <c r="F79" s="313">
        <f t="shared" si="30"/>
        <v>1.8087037123066642E-3</v>
      </c>
      <c r="G79" s="313">
        <f t="shared" si="30"/>
        <v>1.8194700024736657E-3</v>
      </c>
      <c r="H79" s="313">
        <f t="shared" si="30"/>
        <v>1.8733362618908224E-3</v>
      </c>
      <c r="I79" s="313">
        <f t="shared" si="30"/>
        <v>1.4926644648396276E-3</v>
      </c>
      <c r="J79" s="313">
        <f t="shared" si="30"/>
        <v>1.522862111787638E-3</v>
      </c>
      <c r="K79" s="313">
        <f t="shared" si="30"/>
        <v>1.6421878595714835E-3</v>
      </c>
      <c r="L79" s="313">
        <f t="shared" si="30"/>
        <v>1.5617417561053844E-3</v>
      </c>
      <c r="M79" s="313">
        <f t="shared" si="30"/>
        <v>1.5133171912832927E-3</v>
      </c>
      <c r="N79" s="311">
        <f t="shared" si="30"/>
        <v>2.2288898414059154E-3</v>
      </c>
      <c r="O79" s="313">
        <f>N79</f>
        <v>2.2288898414059154E-3</v>
      </c>
      <c r="P79" s="313">
        <f t="shared" ref="P79:AE81" si="32">O79</f>
        <v>2.2288898414059154E-3</v>
      </c>
      <c r="Q79" s="313">
        <f t="shared" si="32"/>
        <v>2.2288898414059154E-3</v>
      </c>
      <c r="R79" s="313">
        <f t="shared" si="32"/>
        <v>2.2288898414059154E-3</v>
      </c>
      <c r="S79" s="313">
        <f t="shared" si="32"/>
        <v>2.2288898414059154E-3</v>
      </c>
      <c r="T79" s="313">
        <f t="shared" si="32"/>
        <v>2.2288898414059154E-3</v>
      </c>
      <c r="U79" s="313">
        <f t="shared" si="32"/>
        <v>2.2288898414059154E-3</v>
      </c>
      <c r="V79" s="313">
        <f t="shared" si="32"/>
        <v>2.2288898414059154E-3</v>
      </c>
      <c r="W79" s="313">
        <f t="shared" si="32"/>
        <v>2.2288898414059154E-3</v>
      </c>
      <c r="X79" s="313">
        <f t="shared" si="32"/>
        <v>2.2288898414059154E-3</v>
      </c>
      <c r="Y79" s="313">
        <f t="shared" si="32"/>
        <v>2.2288898414059154E-3</v>
      </c>
      <c r="Z79" s="313">
        <f t="shared" si="32"/>
        <v>2.2288898414059154E-3</v>
      </c>
      <c r="AA79" s="313">
        <f t="shared" si="32"/>
        <v>2.2288898414059154E-3</v>
      </c>
      <c r="AB79" s="313">
        <f t="shared" si="32"/>
        <v>2.2288898414059154E-3</v>
      </c>
      <c r="AC79" s="313">
        <f t="shared" si="32"/>
        <v>2.2288898414059154E-3</v>
      </c>
      <c r="AD79" s="313">
        <f t="shared" si="32"/>
        <v>2.2288898414059154E-3</v>
      </c>
      <c r="AE79" s="313">
        <f t="shared" si="32"/>
        <v>2.2288898414059154E-3</v>
      </c>
      <c r="AF79" s="313">
        <f t="shared" ref="AF79:AQ81" si="33">AE79</f>
        <v>2.2288898414059154E-3</v>
      </c>
      <c r="AG79" s="313">
        <f t="shared" si="33"/>
        <v>2.2288898414059154E-3</v>
      </c>
      <c r="AH79" s="313">
        <f t="shared" si="33"/>
        <v>2.2288898414059154E-3</v>
      </c>
      <c r="AI79" s="313">
        <f t="shared" si="33"/>
        <v>2.2288898414059154E-3</v>
      </c>
      <c r="AJ79" s="313">
        <f t="shared" si="33"/>
        <v>2.2288898414059154E-3</v>
      </c>
      <c r="AK79" s="313">
        <f t="shared" si="33"/>
        <v>2.2288898414059154E-3</v>
      </c>
      <c r="AL79" s="313">
        <f t="shared" si="33"/>
        <v>2.2288898414059154E-3</v>
      </c>
      <c r="AM79" s="313">
        <f t="shared" si="33"/>
        <v>2.2288898414059154E-3</v>
      </c>
      <c r="AN79" s="313">
        <f t="shared" si="33"/>
        <v>2.2288898414059154E-3</v>
      </c>
      <c r="AO79" s="313">
        <f t="shared" si="33"/>
        <v>2.2288898414059154E-3</v>
      </c>
      <c r="AP79" s="313">
        <f t="shared" si="33"/>
        <v>2.2288898414059154E-3</v>
      </c>
      <c r="AQ79" s="313">
        <f t="shared" si="33"/>
        <v>2.2288898414059154E-3</v>
      </c>
    </row>
    <row r="80" spans="1:44" x14ac:dyDescent="0.3">
      <c r="A80" t="s">
        <v>567</v>
      </c>
      <c r="C80" s="313">
        <f t="shared" si="30"/>
        <v>2.989035987052057E-3</v>
      </c>
      <c r="D80" s="313">
        <f t="shared" si="30"/>
        <v>3.3420091097172261E-3</v>
      </c>
      <c r="E80" s="313">
        <f t="shared" si="30"/>
        <v>4.3041375613873285E-3</v>
      </c>
      <c r="F80" s="313">
        <f t="shared" si="30"/>
        <v>5.1774273439549731E-3</v>
      </c>
      <c r="G80" s="313">
        <f t="shared" si="30"/>
        <v>6.170723467728915E-3</v>
      </c>
      <c r="H80" s="313">
        <f t="shared" si="30"/>
        <v>7.1742310580213539E-3</v>
      </c>
      <c r="I80" s="313">
        <f t="shared" si="30"/>
        <v>7.8879139418492426E-3</v>
      </c>
      <c r="J80" s="313">
        <f t="shared" si="30"/>
        <v>9.1064606856682793E-3</v>
      </c>
      <c r="K80" s="313">
        <f t="shared" si="30"/>
        <v>1.0610157588280525E-2</v>
      </c>
      <c r="L80" s="313">
        <f t="shared" si="30"/>
        <v>1.2625143724349221E-2</v>
      </c>
      <c r="M80" s="313">
        <f t="shared" si="30"/>
        <v>1.2802663438256657E-2</v>
      </c>
      <c r="N80" s="311">
        <f t="shared" si="30"/>
        <v>1.2487498214030578E-2</v>
      </c>
      <c r="O80" s="313">
        <f>N80</f>
        <v>1.2487498214030578E-2</v>
      </c>
      <c r="P80" s="313">
        <f t="shared" si="32"/>
        <v>1.2487498214030578E-2</v>
      </c>
      <c r="Q80" s="313">
        <f t="shared" si="32"/>
        <v>1.2487498214030578E-2</v>
      </c>
      <c r="R80" s="313">
        <f t="shared" si="32"/>
        <v>1.2487498214030578E-2</v>
      </c>
      <c r="S80" s="313">
        <f t="shared" si="32"/>
        <v>1.2487498214030578E-2</v>
      </c>
      <c r="T80" s="313">
        <f t="shared" si="32"/>
        <v>1.2487498214030578E-2</v>
      </c>
      <c r="U80" s="313">
        <f t="shared" si="32"/>
        <v>1.2487498214030578E-2</v>
      </c>
      <c r="V80" s="313">
        <f t="shared" si="32"/>
        <v>1.2487498214030578E-2</v>
      </c>
      <c r="W80" s="313">
        <f t="shared" si="32"/>
        <v>1.2487498214030578E-2</v>
      </c>
      <c r="X80" s="313">
        <f t="shared" si="32"/>
        <v>1.2487498214030578E-2</v>
      </c>
      <c r="Y80" s="313">
        <f t="shared" si="32"/>
        <v>1.2487498214030578E-2</v>
      </c>
      <c r="Z80" s="313">
        <f t="shared" si="32"/>
        <v>1.2487498214030578E-2</v>
      </c>
      <c r="AA80" s="313">
        <f t="shared" si="32"/>
        <v>1.2487498214030578E-2</v>
      </c>
      <c r="AB80" s="313">
        <f t="shared" si="32"/>
        <v>1.2487498214030578E-2</v>
      </c>
      <c r="AC80" s="313">
        <f t="shared" si="32"/>
        <v>1.2487498214030578E-2</v>
      </c>
      <c r="AD80" s="313">
        <f t="shared" si="32"/>
        <v>1.2487498214030578E-2</v>
      </c>
      <c r="AE80" s="313">
        <f t="shared" si="32"/>
        <v>1.2487498214030578E-2</v>
      </c>
      <c r="AF80" s="313">
        <f t="shared" si="33"/>
        <v>1.2487498214030578E-2</v>
      </c>
      <c r="AG80" s="313">
        <f t="shared" si="33"/>
        <v>1.2487498214030578E-2</v>
      </c>
      <c r="AH80" s="313">
        <f t="shared" si="33"/>
        <v>1.2487498214030578E-2</v>
      </c>
      <c r="AI80" s="313">
        <f t="shared" si="33"/>
        <v>1.2487498214030578E-2</v>
      </c>
      <c r="AJ80" s="313">
        <f t="shared" si="33"/>
        <v>1.2487498214030578E-2</v>
      </c>
      <c r="AK80" s="313">
        <f t="shared" si="33"/>
        <v>1.2487498214030578E-2</v>
      </c>
      <c r="AL80" s="313">
        <f t="shared" si="33"/>
        <v>1.2487498214030578E-2</v>
      </c>
      <c r="AM80" s="313">
        <f t="shared" si="33"/>
        <v>1.2487498214030578E-2</v>
      </c>
      <c r="AN80" s="313">
        <f t="shared" si="33"/>
        <v>1.2487498214030578E-2</v>
      </c>
      <c r="AO80" s="313">
        <f t="shared" si="33"/>
        <v>1.2487498214030578E-2</v>
      </c>
      <c r="AP80" s="313">
        <f t="shared" si="33"/>
        <v>1.2487498214030578E-2</v>
      </c>
      <c r="AQ80" s="313">
        <f t="shared" si="33"/>
        <v>1.2487498214030578E-2</v>
      </c>
    </row>
    <row r="81" spans="1:43" x14ac:dyDescent="0.3">
      <c r="A81" t="s">
        <v>568</v>
      </c>
      <c r="C81" s="313">
        <f t="shared" si="30"/>
        <v>6.3596510362809718E-5</v>
      </c>
      <c r="D81" s="313">
        <f t="shared" si="30"/>
        <v>3.5205152344455922E-4</v>
      </c>
      <c r="E81" s="313">
        <f t="shared" si="30"/>
        <v>7.2839567732635219E-4</v>
      </c>
      <c r="F81" s="313">
        <f t="shared" si="30"/>
        <v>1.1670729431287627E-3</v>
      </c>
      <c r="G81" s="313">
        <f t="shared" si="30"/>
        <v>2.1321914091488267E-3</v>
      </c>
      <c r="H81" s="313">
        <f t="shared" si="30"/>
        <v>3.6529553250964114E-3</v>
      </c>
      <c r="I81" s="313">
        <f t="shared" si="30"/>
        <v>5.3305043435153089E-3</v>
      </c>
      <c r="J81" s="313">
        <f t="shared" si="30"/>
        <v>5.8328963868986361E-3</v>
      </c>
      <c r="K81" s="313">
        <f t="shared" si="30"/>
        <v>8.5686367515111009E-3</v>
      </c>
      <c r="L81" s="313">
        <f t="shared" si="30"/>
        <v>1.1047000758805568E-2</v>
      </c>
      <c r="M81" s="313">
        <f t="shared" si="30"/>
        <v>1.9703389830508473E-2</v>
      </c>
      <c r="N81" s="311">
        <f t="shared" si="30"/>
        <v>2.0574367766823833E-2</v>
      </c>
      <c r="O81" s="313">
        <f>N81</f>
        <v>2.0574367766823833E-2</v>
      </c>
      <c r="P81" s="313">
        <f t="shared" si="32"/>
        <v>2.0574367766823833E-2</v>
      </c>
      <c r="Q81" s="313">
        <f t="shared" si="32"/>
        <v>2.0574367766823833E-2</v>
      </c>
      <c r="R81" s="313">
        <f t="shared" si="32"/>
        <v>2.0574367766823833E-2</v>
      </c>
      <c r="S81" s="313">
        <f t="shared" si="32"/>
        <v>2.0574367766823833E-2</v>
      </c>
      <c r="T81" s="313">
        <f t="shared" si="32"/>
        <v>2.0574367766823833E-2</v>
      </c>
      <c r="U81" s="313">
        <f t="shared" si="32"/>
        <v>2.0574367766823833E-2</v>
      </c>
      <c r="V81" s="313">
        <f t="shared" si="32"/>
        <v>2.0574367766823833E-2</v>
      </c>
      <c r="W81" s="313">
        <f t="shared" si="32"/>
        <v>2.0574367766823833E-2</v>
      </c>
      <c r="X81" s="313">
        <f t="shared" si="32"/>
        <v>2.0574367766823833E-2</v>
      </c>
      <c r="Y81" s="313">
        <f t="shared" si="32"/>
        <v>2.0574367766823833E-2</v>
      </c>
      <c r="Z81" s="313">
        <f t="shared" si="32"/>
        <v>2.0574367766823833E-2</v>
      </c>
      <c r="AA81" s="313">
        <f t="shared" si="32"/>
        <v>2.0574367766823833E-2</v>
      </c>
      <c r="AB81" s="313">
        <f t="shared" si="32"/>
        <v>2.0574367766823833E-2</v>
      </c>
      <c r="AC81" s="313">
        <f t="shared" si="32"/>
        <v>2.0574367766823833E-2</v>
      </c>
      <c r="AD81" s="313">
        <f t="shared" si="32"/>
        <v>2.0574367766823833E-2</v>
      </c>
      <c r="AE81" s="313">
        <f t="shared" si="32"/>
        <v>2.0574367766823833E-2</v>
      </c>
      <c r="AF81" s="313">
        <f t="shared" si="33"/>
        <v>2.0574367766823833E-2</v>
      </c>
      <c r="AG81" s="313">
        <f t="shared" si="33"/>
        <v>2.0574367766823833E-2</v>
      </c>
      <c r="AH81" s="313">
        <f t="shared" si="33"/>
        <v>2.0574367766823833E-2</v>
      </c>
      <c r="AI81" s="313">
        <f t="shared" si="33"/>
        <v>2.0574367766823833E-2</v>
      </c>
      <c r="AJ81" s="313">
        <f t="shared" si="33"/>
        <v>2.0574367766823833E-2</v>
      </c>
      <c r="AK81" s="313">
        <f t="shared" si="33"/>
        <v>2.0574367766823833E-2</v>
      </c>
      <c r="AL81" s="313">
        <f t="shared" si="33"/>
        <v>2.0574367766823833E-2</v>
      </c>
      <c r="AM81" s="313">
        <f t="shared" si="33"/>
        <v>2.0574367766823833E-2</v>
      </c>
      <c r="AN81" s="313">
        <f t="shared" si="33"/>
        <v>2.0574367766823833E-2</v>
      </c>
      <c r="AO81" s="313">
        <f t="shared" si="33"/>
        <v>2.0574367766823833E-2</v>
      </c>
      <c r="AP81" s="313">
        <f t="shared" si="33"/>
        <v>2.0574367766823833E-2</v>
      </c>
      <c r="AQ81" s="313">
        <f t="shared" si="33"/>
        <v>2.0574367766823833E-2</v>
      </c>
    </row>
    <row r="82" spans="1:43" x14ac:dyDescent="0.3">
      <c r="A82" t="s">
        <v>569</v>
      </c>
      <c r="C82" s="313">
        <f t="shared" si="30"/>
        <v>6.3596510362809718E-5</v>
      </c>
      <c r="D82" s="313">
        <f t="shared" si="30"/>
        <v>6.4009367899010779E-5</v>
      </c>
      <c r="E82" s="313">
        <f t="shared" si="30"/>
        <v>6.3338754550117587E-5</v>
      </c>
      <c r="F82" s="313">
        <f t="shared" si="30"/>
        <v>6.4837385729375703E-5</v>
      </c>
      <c r="G82" s="313">
        <f t="shared" si="30"/>
        <v>6.461186088329779E-5</v>
      </c>
      <c r="H82" s="313">
        <f t="shared" si="30"/>
        <v>6.2981988363731257E-5</v>
      </c>
      <c r="I82" s="313">
        <f t="shared" si="30"/>
        <v>6.1624327670697208E-5</v>
      </c>
      <c r="J82" s="313">
        <f t="shared" si="30"/>
        <v>5.9519350886720786E-5</v>
      </c>
      <c r="K82" s="313">
        <f t="shared" si="30"/>
        <v>5.7507629204772503E-5</v>
      </c>
      <c r="L82" s="313">
        <f t="shared" si="30"/>
        <v>6.1977978283168905E-3</v>
      </c>
      <c r="M82" s="313">
        <f t="shared" si="30"/>
        <v>1.0623486682808716E-2</v>
      </c>
      <c r="N82" s="311">
        <f t="shared" si="30"/>
        <v>1.4144877839691386E-2</v>
      </c>
      <c r="O82" s="313">
        <f>N82*1.01</f>
        <v>1.42863266180883E-2</v>
      </c>
      <c r="P82" s="313">
        <f t="shared" ref="P82:AQ82" si="34">O82*1.01</f>
        <v>1.4429189884269182E-2</v>
      </c>
      <c r="Q82" s="313">
        <f t="shared" si="34"/>
        <v>1.4573481783111875E-2</v>
      </c>
      <c r="R82" s="313">
        <f t="shared" si="34"/>
        <v>1.4719216600942994E-2</v>
      </c>
      <c r="S82" s="313">
        <f t="shared" si="34"/>
        <v>1.4866408766952423E-2</v>
      </c>
      <c r="T82" s="313">
        <f t="shared" si="34"/>
        <v>1.5015072854621947E-2</v>
      </c>
      <c r="U82" s="313">
        <f t="shared" si="34"/>
        <v>1.5165223583168167E-2</v>
      </c>
      <c r="V82" s="313">
        <f t="shared" si="34"/>
        <v>1.5316875818999848E-2</v>
      </c>
      <c r="W82" s="313">
        <f t="shared" si="34"/>
        <v>1.5470044577189847E-2</v>
      </c>
      <c r="X82" s="313">
        <f t="shared" si="34"/>
        <v>1.5624745022961746E-2</v>
      </c>
      <c r="Y82" s="313">
        <f t="shared" si="34"/>
        <v>1.5780992473191365E-2</v>
      </c>
      <c r="Z82" s="313">
        <f t="shared" si="34"/>
        <v>1.593880239792328E-2</v>
      </c>
      <c r="AA82" s="313">
        <f t="shared" si="34"/>
        <v>1.6098190421902511E-2</v>
      </c>
      <c r="AB82" s="313">
        <f t="shared" si="34"/>
        <v>1.6259172326121535E-2</v>
      </c>
      <c r="AC82" s="313">
        <f t="shared" si="34"/>
        <v>1.642176404938275E-2</v>
      </c>
      <c r="AD82" s="313">
        <f t="shared" si="34"/>
        <v>1.6585981689876579E-2</v>
      </c>
      <c r="AE82" s="313">
        <f t="shared" si="34"/>
        <v>1.6751841506775344E-2</v>
      </c>
      <c r="AF82" s="313">
        <f t="shared" si="34"/>
        <v>1.6919359921843097E-2</v>
      </c>
      <c r="AG82" s="313">
        <f t="shared" si="34"/>
        <v>1.7088553521061527E-2</v>
      </c>
      <c r="AH82" s="313">
        <f t="shared" si="34"/>
        <v>1.7259439056272141E-2</v>
      </c>
      <c r="AI82" s="313">
        <f t="shared" si="34"/>
        <v>1.7432033446834864E-2</v>
      </c>
      <c r="AJ82" s="313">
        <f t="shared" si="34"/>
        <v>1.7606353781303211E-2</v>
      </c>
      <c r="AK82" s="313">
        <f t="shared" si="34"/>
        <v>1.7782417319116242E-2</v>
      </c>
      <c r="AL82" s="313">
        <f t="shared" si="34"/>
        <v>1.7960241492307405E-2</v>
      </c>
      <c r="AM82" s="313">
        <f t="shared" si="34"/>
        <v>1.8139843907230477E-2</v>
      </c>
      <c r="AN82" s="313">
        <f t="shared" si="34"/>
        <v>1.8321242346302783E-2</v>
      </c>
      <c r="AO82" s="313">
        <f t="shared" si="34"/>
        <v>1.850445476976581E-2</v>
      </c>
      <c r="AP82" s="313">
        <f t="shared" si="34"/>
        <v>1.8689499317463467E-2</v>
      </c>
      <c r="AQ82" s="313">
        <f t="shared" si="34"/>
        <v>1.8876394310638103E-2</v>
      </c>
    </row>
    <row r="83" spans="1:43" x14ac:dyDescent="0.3">
      <c r="A83" t="s">
        <v>570</v>
      </c>
      <c r="C83" s="313">
        <f t="shared" si="30"/>
        <v>5.3253173917402344E-3</v>
      </c>
      <c r="D83" s="313">
        <f t="shared" si="30"/>
        <v>5.3598884303915663E-3</v>
      </c>
      <c r="E83" s="313">
        <f t="shared" si="30"/>
        <v>5.3037339510086465E-3</v>
      </c>
      <c r="F83" s="313">
        <f t="shared" si="30"/>
        <v>4.0719174985762528E-3</v>
      </c>
      <c r="G83" s="313">
        <f t="shared" si="30"/>
        <v>6.7629234786547796E-3</v>
      </c>
      <c r="H83" s="313">
        <f t="shared" si="30"/>
        <v>3.9553948332190503E-3</v>
      </c>
      <c r="I83" s="313">
        <f t="shared" si="30"/>
        <v>2.4649731068278878E-3</v>
      </c>
      <c r="J83" s="313">
        <f t="shared" si="30"/>
        <v>1.1903870177344155E-3</v>
      </c>
      <c r="K83" s="313">
        <f t="shared" si="30"/>
        <v>5.8945319934891804E-3</v>
      </c>
      <c r="L83" s="313">
        <f t="shared" si="30"/>
        <v>8.8662941155088857E-3</v>
      </c>
      <c r="M83" s="313">
        <f t="shared" si="30"/>
        <v>7.8389830508474555E-3</v>
      </c>
      <c r="N83" s="311">
        <f t="shared" si="30"/>
        <v>5.0578654093441922E-3</v>
      </c>
      <c r="O83" s="313">
        <f>N83*0.97</f>
        <v>4.9061294470638664E-3</v>
      </c>
      <c r="P83" s="313">
        <f t="shared" ref="P83:AQ83" si="35">O83*0.97</f>
        <v>4.7589455636519503E-3</v>
      </c>
      <c r="Q83" s="313">
        <f t="shared" si="35"/>
        <v>4.6161771967423914E-3</v>
      </c>
      <c r="R83" s="313">
        <f t="shared" si="35"/>
        <v>4.4776918808401194E-3</v>
      </c>
      <c r="S83" s="313">
        <f t="shared" si="35"/>
        <v>4.3433611244149154E-3</v>
      </c>
      <c r="T83" s="313">
        <f t="shared" si="35"/>
        <v>4.2130602906824679E-3</v>
      </c>
      <c r="U83" s="313">
        <f t="shared" si="35"/>
        <v>4.0866684819619937E-3</v>
      </c>
      <c r="V83" s="313">
        <f t="shared" si="35"/>
        <v>3.9640684275031339E-3</v>
      </c>
      <c r="W83" s="313">
        <f t="shared" si="35"/>
        <v>3.8451463746780397E-3</v>
      </c>
      <c r="X83" s="313">
        <f t="shared" si="35"/>
        <v>3.7297919834376986E-3</v>
      </c>
      <c r="Y83" s="313">
        <f t="shared" si="35"/>
        <v>3.6178982239345675E-3</v>
      </c>
      <c r="Z83" s="313">
        <f t="shared" si="35"/>
        <v>3.5093612772165305E-3</v>
      </c>
      <c r="AA83" s="313">
        <f t="shared" si="35"/>
        <v>3.4040804389000342E-3</v>
      </c>
      <c r="AB83" s="313">
        <f t="shared" si="35"/>
        <v>3.3019580257330331E-3</v>
      </c>
      <c r="AC83" s="313">
        <f t="shared" si="35"/>
        <v>3.2028992849610421E-3</v>
      </c>
      <c r="AD83" s="313">
        <f t="shared" si="35"/>
        <v>3.1068123064122107E-3</v>
      </c>
      <c r="AE83" s="313">
        <f t="shared" si="35"/>
        <v>3.0136079372198444E-3</v>
      </c>
      <c r="AF83" s="313">
        <f t="shared" si="35"/>
        <v>2.9231996991032488E-3</v>
      </c>
      <c r="AG83" s="313">
        <f t="shared" si="35"/>
        <v>2.8355037081301514E-3</v>
      </c>
      <c r="AH83" s="313">
        <f t="shared" si="35"/>
        <v>2.7504385968862466E-3</v>
      </c>
      <c r="AI83" s="313">
        <f t="shared" si="35"/>
        <v>2.6679254389796593E-3</v>
      </c>
      <c r="AJ83" s="313">
        <f t="shared" si="35"/>
        <v>2.5878876758102694E-3</v>
      </c>
      <c r="AK83" s="313">
        <f t="shared" si="35"/>
        <v>2.5102510455359611E-3</v>
      </c>
      <c r="AL83" s="313">
        <f t="shared" si="35"/>
        <v>2.4349435141698822E-3</v>
      </c>
      <c r="AM83" s="313">
        <f t="shared" si="35"/>
        <v>2.3618952087447855E-3</v>
      </c>
      <c r="AN83" s="313">
        <f t="shared" si="35"/>
        <v>2.2910383524824417E-3</v>
      </c>
      <c r="AO83" s="313">
        <f t="shared" si="35"/>
        <v>2.2223072019079684E-3</v>
      </c>
      <c r="AP83" s="313">
        <f t="shared" si="35"/>
        <v>2.1556379858507294E-3</v>
      </c>
      <c r="AQ83" s="313">
        <f t="shared" si="35"/>
        <v>2.0909688462752074E-3</v>
      </c>
    </row>
    <row r="84" spans="1:43" x14ac:dyDescent="0.3">
      <c r="A84" t="s">
        <v>571</v>
      </c>
      <c r="C84" s="313">
        <f t="shared" si="30"/>
        <v>4.3245627046710608E-3</v>
      </c>
      <c r="D84" s="313">
        <f t="shared" si="30"/>
        <v>8.6412646663664534E-4</v>
      </c>
      <c r="E84" s="313">
        <f t="shared" si="30"/>
        <v>0</v>
      </c>
      <c r="F84" s="313">
        <f t="shared" si="30"/>
        <v>0</v>
      </c>
      <c r="G84" s="313">
        <f t="shared" si="30"/>
        <v>0</v>
      </c>
      <c r="H84" s="313">
        <f t="shared" si="30"/>
        <v>0</v>
      </c>
      <c r="I84" s="313">
        <f t="shared" si="30"/>
        <v>0</v>
      </c>
      <c r="J84" s="313">
        <f t="shared" si="30"/>
        <v>1.8748595529317045E-3</v>
      </c>
      <c r="K84" s="313">
        <f t="shared" si="30"/>
        <v>1.5124506480855168E-2</v>
      </c>
      <c r="L84" s="313">
        <f t="shared" si="30"/>
        <v>2.404516009319238E-2</v>
      </c>
      <c r="M84" s="313">
        <f t="shared" si="30"/>
        <v>4.149515738498788E-2</v>
      </c>
      <c r="N84" s="311">
        <f t="shared" si="30"/>
        <v>4.4692098871267329E-2</v>
      </c>
      <c r="O84" s="313">
        <f>N84*1.005</f>
        <v>4.4915559365623657E-2</v>
      </c>
      <c r="P84" s="313">
        <f t="shared" ref="P84:AQ84" si="36">O84*1.005</f>
        <v>4.5140137162451771E-2</v>
      </c>
      <c r="Q84" s="313">
        <f t="shared" si="36"/>
        <v>4.5365837848264028E-2</v>
      </c>
      <c r="R84" s="313">
        <f t="shared" si="36"/>
        <v>4.5592667037505342E-2</v>
      </c>
      <c r="S84" s="313">
        <f t="shared" si="36"/>
        <v>4.5820630372692864E-2</v>
      </c>
      <c r="T84" s="313">
        <f t="shared" si="36"/>
        <v>4.6049733524556324E-2</v>
      </c>
      <c r="U84" s="313">
        <f t="shared" si="36"/>
        <v>4.6279982192179103E-2</v>
      </c>
      <c r="V84" s="313">
        <f t="shared" si="36"/>
        <v>4.6511382103139993E-2</v>
      </c>
      <c r="W84" s="313">
        <f t="shared" si="36"/>
        <v>4.6743939013655686E-2</v>
      </c>
      <c r="X84" s="313">
        <f t="shared" si="36"/>
        <v>4.697765870872396E-2</v>
      </c>
      <c r="Y84" s="313">
        <f t="shared" si="36"/>
        <v>4.7212547002267576E-2</v>
      </c>
      <c r="Z84" s="313">
        <f t="shared" si="36"/>
        <v>4.7448609737278907E-2</v>
      </c>
      <c r="AA84" s="313">
        <f t="shared" si="36"/>
        <v>4.7685852785965294E-2</v>
      </c>
      <c r="AB84" s="313">
        <f t="shared" si="36"/>
        <v>4.7924282049895114E-2</v>
      </c>
      <c r="AC84" s="313">
        <f t="shared" si="36"/>
        <v>4.8163903460144583E-2</v>
      </c>
      <c r="AD84" s="313">
        <f t="shared" si="36"/>
        <v>4.8404722977445303E-2</v>
      </c>
      <c r="AE84" s="313">
        <f t="shared" si="36"/>
        <v>4.8646746592332521E-2</v>
      </c>
      <c r="AF84" s="313">
        <f t="shared" si="36"/>
        <v>4.888998032529418E-2</v>
      </c>
      <c r="AG84" s="313">
        <f t="shared" si="36"/>
        <v>4.9134430226920649E-2</v>
      </c>
      <c r="AH84" s="313">
        <f t="shared" si="36"/>
        <v>4.9380102378055249E-2</v>
      </c>
      <c r="AI84" s="313">
        <f t="shared" si="36"/>
        <v>4.9627002889945517E-2</v>
      </c>
      <c r="AJ84" s="313">
        <f t="shared" si="36"/>
        <v>4.9875137904395239E-2</v>
      </c>
      <c r="AK84" s="313">
        <f t="shared" si="36"/>
        <v>5.012451359391721E-2</v>
      </c>
      <c r="AL84" s="313">
        <f t="shared" si="36"/>
        <v>5.037513616188679E-2</v>
      </c>
      <c r="AM84" s="313">
        <f t="shared" si="36"/>
        <v>5.0627011842696218E-2</v>
      </c>
      <c r="AN84" s="313">
        <f t="shared" si="36"/>
        <v>5.0880146901909694E-2</v>
      </c>
      <c r="AO84" s="313">
        <f t="shared" si="36"/>
        <v>5.1134547636419239E-2</v>
      </c>
      <c r="AP84" s="313">
        <f t="shared" si="36"/>
        <v>5.1390220374601329E-2</v>
      </c>
      <c r="AQ84" s="313">
        <f t="shared" si="36"/>
        <v>5.1647171476474331E-2</v>
      </c>
    </row>
    <row r="85" spans="1:43" x14ac:dyDescent="0.3">
      <c r="A85" t="s">
        <v>544</v>
      </c>
      <c r="C85" s="313">
        <f t="shared" si="30"/>
        <v>4.2418872411994083E-3</v>
      </c>
      <c r="D85" s="313">
        <f t="shared" si="30"/>
        <v>3.9173733154194597E-3</v>
      </c>
      <c r="E85" s="313">
        <f t="shared" si="30"/>
        <v>3.8763317784671963E-3</v>
      </c>
      <c r="F85" s="313">
        <f t="shared" si="30"/>
        <v>4.2014625952635455E-3</v>
      </c>
      <c r="G85" s="313">
        <f t="shared" si="30"/>
        <v>2.9075337397484005E-3</v>
      </c>
      <c r="H85" s="313">
        <f t="shared" si="30"/>
        <v>2.6074543182584738E-3</v>
      </c>
      <c r="I85" s="313">
        <f t="shared" si="30"/>
        <v>2.551247165566864E-3</v>
      </c>
      <c r="J85" s="313">
        <f t="shared" si="30"/>
        <v>3.1069101162868248E-3</v>
      </c>
      <c r="K85" s="313">
        <f t="shared" si="30"/>
        <v>2.7948707793519433E-3</v>
      </c>
      <c r="L85" s="313">
        <f t="shared" si="30"/>
        <v>2.995602283686497E-3</v>
      </c>
      <c r="M85" s="313">
        <f t="shared" si="30"/>
        <v>2.8147699757869247E-3</v>
      </c>
      <c r="N85" s="311">
        <f>N72/N$73</f>
        <v>3.0861551650235752E-3</v>
      </c>
      <c r="O85" s="311">
        <f>100%-SUM(O77:O84)</f>
        <v>6.7455350764397126E-3</v>
      </c>
      <c r="P85" s="311">
        <f t="shared" ref="P85:AQ85" si="37">100%-SUM(P77:P84)</f>
        <v>1.0166358051150182E-2</v>
      </c>
      <c r="Q85" s="311">
        <f t="shared" si="37"/>
        <v>1.3355108629804602E-2</v>
      </c>
      <c r="R85" s="311">
        <f t="shared" si="37"/>
        <v>1.6318073173096415E-2</v>
      </c>
      <c r="S85" s="311">
        <f t="shared" si="37"/>
        <v>1.906134578611729E-2</v>
      </c>
      <c r="T85" s="311">
        <f t="shared" si="37"/>
        <v>2.1590834064841746E-2</v>
      </c>
      <c r="U85" s="311">
        <f t="shared" si="37"/>
        <v>2.3912264670085892E-2</v>
      </c>
      <c r="V85" s="311">
        <f t="shared" si="37"/>
        <v>2.6031188734111255E-2</v>
      </c>
      <c r="W85" s="311">
        <f t="shared" si="37"/>
        <v>2.7952987104893134E-2</v>
      </c>
      <c r="X85" s="311">
        <f t="shared" si="37"/>
        <v>2.9682875432925027E-2</v>
      </c>
      <c r="Y85" s="311">
        <f t="shared" si="37"/>
        <v>3.1225909105279892E-2</v>
      </c>
      <c r="Z85" s="311">
        <f t="shared" si="37"/>
        <v>3.258698803150939E-2</v>
      </c>
      <c r="AA85" s="311">
        <f t="shared" si="37"/>
        <v>3.3770861285827847E-2</v>
      </c>
      <c r="AB85" s="311">
        <f t="shared" si="37"/>
        <v>3.4782131609886857E-2</v>
      </c>
      <c r="AC85" s="311">
        <f t="shared" si="37"/>
        <v>3.5625259780326046E-2</v>
      </c>
      <c r="AD85" s="311">
        <f t="shared" si="37"/>
        <v>3.6304568845153984E-2</v>
      </c>
      <c r="AE85" s="311">
        <f t="shared" si="37"/>
        <v>3.6824248232891654E-2</v>
      </c>
      <c r="AF85" s="311">
        <f t="shared" si="37"/>
        <v>3.7188357738298095E-2</v>
      </c>
      <c r="AG85" s="311">
        <f t="shared" si="37"/>
        <v>3.7400831388376243E-2</v>
      </c>
      <c r="AH85" s="311">
        <f t="shared" si="37"/>
        <v>3.7465481192252126E-2</v>
      </c>
      <c r="AI85" s="311">
        <f t="shared" si="37"/>
        <v>3.738600077840859E-2</v>
      </c>
      <c r="AJ85" s="311">
        <f t="shared" si="37"/>
        <v>3.7165968922651893E-2</v>
      </c>
      <c r="AK85" s="311">
        <f t="shared" si="37"/>
        <v>3.6808852970090178E-2</v>
      </c>
      <c r="AL85" s="311">
        <f t="shared" si="37"/>
        <v>3.6318012154297641E-2</v>
      </c>
      <c r="AM85" s="311">
        <f t="shared" si="37"/>
        <v>3.5696700816755134E-2</v>
      </c>
      <c r="AN85" s="311">
        <f t="shared" si="37"/>
        <v>3.4948071529549152E-2</v>
      </c>
      <c r="AO85" s="311">
        <f t="shared" si="37"/>
        <v>3.407517812423777E-2</v>
      </c>
      <c r="AP85" s="311">
        <f t="shared" si="37"/>
        <v>3.3080978629692726E-2</v>
      </c>
      <c r="AQ85" s="311">
        <f t="shared" si="37"/>
        <v>3.196833812164912E-2</v>
      </c>
    </row>
    <row r="86" spans="1:43" x14ac:dyDescent="0.3"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</row>
    <row r="87" spans="1:43" ht="15" customHeight="1" x14ac:dyDescent="0.3"/>
    <row r="88" spans="1:43" x14ac:dyDescent="0.3">
      <c r="A88" s="244" t="s">
        <v>563</v>
      </c>
      <c r="C88">
        <v>2010</v>
      </c>
      <c r="D88">
        <v>2015</v>
      </c>
      <c r="E88" s="330">
        <v>2020</v>
      </c>
      <c r="F88">
        <v>2025</v>
      </c>
      <c r="G88">
        <v>2030</v>
      </c>
      <c r="H88">
        <v>2035</v>
      </c>
      <c r="I88">
        <v>2040</v>
      </c>
      <c r="J88">
        <v>2045</v>
      </c>
      <c r="K88">
        <v>2050</v>
      </c>
      <c r="V88" t="s">
        <v>574</v>
      </c>
    </row>
    <row r="89" spans="1:43" x14ac:dyDescent="0.3">
      <c r="A89" t="s">
        <v>564</v>
      </c>
      <c r="C89" s="245">
        <f t="shared" ref="C89:C98" si="38">C64</f>
        <v>3365.7220000000002</v>
      </c>
      <c r="D89" s="245">
        <f t="shared" ref="D89:D98" si="39">H64</f>
        <v>2798.8888888888887</v>
      </c>
      <c r="E89" s="265">
        <f t="shared" ref="E89:E98" si="40">M64</f>
        <v>2493.3333333333335</v>
      </c>
      <c r="F89" s="245">
        <f t="shared" ref="F89:F98" si="41">R64</f>
        <v>2139.3222539447238</v>
      </c>
      <c r="G89" s="245">
        <f t="shared" ref="G89:G98" si="42">W64</f>
        <v>1930.8198239081933</v>
      </c>
      <c r="H89" s="245">
        <f t="shared" ref="H89:H98" si="43">AB64</f>
        <v>1742.638438656279</v>
      </c>
      <c r="I89" s="245">
        <f t="shared" ref="I89:I98" si="44">AG64</f>
        <v>1572.7975703789891</v>
      </c>
      <c r="J89" s="245">
        <f t="shared" ref="J89:J98" si="45">AL64</f>
        <v>1419.5097172867802</v>
      </c>
      <c r="K89" s="245">
        <f t="shared" ref="K89:K98" si="46">AQ64</f>
        <v>1281.161590926192</v>
      </c>
    </row>
    <row r="90" spans="1:43" x14ac:dyDescent="0.3">
      <c r="A90" t="s">
        <v>565</v>
      </c>
      <c r="C90" s="245">
        <f t="shared" si="38"/>
        <v>5210.2219999999998</v>
      </c>
      <c r="D90" s="245">
        <f t="shared" si="39"/>
        <v>5851.5</v>
      </c>
      <c r="E90" s="265">
        <f t="shared" si="40"/>
        <v>5796.1111111111104</v>
      </c>
      <c r="F90" s="245">
        <f t="shared" si="41"/>
        <v>6798.7833921215288</v>
      </c>
      <c r="G90" s="245">
        <f t="shared" si="42"/>
        <v>7326.0247671697925</v>
      </c>
      <c r="H90" s="245">
        <f t="shared" si="43"/>
        <v>7894.1533791735537</v>
      </c>
      <c r="I90" s="245">
        <f t="shared" si="44"/>
        <v>8506.3400076371763</v>
      </c>
      <c r="J90" s="245">
        <f t="shared" si="45"/>
        <v>9166.0013240208973</v>
      </c>
      <c r="K90" s="245">
        <f t="shared" si="46"/>
        <v>9876.8189605073203</v>
      </c>
    </row>
    <row r="91" spans="1:43" x14ac:dyDescent="0.3">
      <c r="A91" t="s">
        <v>566</v>
      </c>
      <c r="C91" s="245">
        <f t="shared" si="38"/>
        <v>11.110000000000001</v>
      </c>
      <c r="D91" s="245">
        <f t="shared" si="39"/>
        <v>16.524444444444445</v>
      </c>
      <c r="E91" s="265">
        <f t="shared" si="40"/>
        <v>13.888888888888889</v>
      </c>
      <c r="F91" s="245">
        <f t="shared" si="41"/>
        <v>22.546420216666672</v>
      </c>
      <c r="G91" s="245">
        <f t="shared" si="42"/>
        <v>23.696514241494491</v>
      </c>
      <c r="H91" s="245">
        <f t="shared" si="43"/>
        <v>24.905274620148486</v>
      </c>
      <c r="I91" s="245">
        <f t="shared" si="44"/>
        <v>26.175693926276516</v>
      </c>
      <c r="J91" s="245">
        <f t="shared" si="45"/>
        <v>27.510917384858143</v>
      </c>
      <c r="K91" s="245">
        <f t="shared" si="46"/>
        <v>28.914250658956714</v>
      </c>
    </row>
    <row r="92" spans="1:43" x14ac:dyDescent="0.3">
      <c r="A92" t="s">
        <v>567</v>
      </c>
      <c r="C92" s="245">
        <f t="shared" si="38"/>
        <v>26.111111111111114</v>
      </c>
      <c r="D92" s="245">
        <f t="shared" si="39"/>
        <v>63.282916666666665</v>
      </c>
      <c r="E92" s="265">
        <f t="shared" si="40"/>
        <v>117.5</v>
      </c>
      <c r="F92" s="245">
        <f t="shared" si="41"/>
        <v>126.31776454722224</v>
      </c>
      <c r="G92" s="245">
        <f t="shared" si="42"/>
        <v>132.76124004529606</v>
      </c>
      <c r="H92" s="245">
        <f t="shared" si="43"/>
        <v>139.53339755134473</v>
      </c>
      <c r="I92" s="245">
        <f t="shared" si="44"/>
        <v>146.65100315106201</v>
      </c>
      <c r="J92" s="245">
        <f t="shared" si="45"/>
        <v>154.13167816901293</v>
      </c>
      <c r="K92" s="245">
        <f t="shared" si="46"/>
        <v>161.99394279441134</v>
      </c>
    </row>
    <row r="93" spans="1:43" x14ac:dyDescent="0.3">
      <c r="A93" t="s">
        <v>568</v>
      </c>
      <c r="C93" s="245">
        <f t="shared" si="38"/>
        <v>0.55555555555555558</v>
      </c>
      <c r="D93" s="245">
        <f t="shared" si="39"/>
        <v>32.222222222222214</v>
      </c>
      <c r="E93" s="265">
        <f t="shared" si="40"/>
        <v>180.83333333333334</v>
      </c>
      <c r="F93" s="245">
        <f t="shared" si="41"/>
        <v>208.12080200000003</v>
      </c>
      <c r="G93" s="245">
        <f t="shared" si="42"/>
        <v>218.73705453687222</v>
      </c>
      <c r="H93" s="245">
        <f t="shared" si="43"/>
        <v>229.89484264752448</v>
      </c>
      <c r="I93" s="245">
        <f t="shared" si="44"/>
        <v>241.62179008870626</v>
      </c>
      <c r="J93" s="245">
        <f t="shared" si="45"/>
        <v>253.94692970638286</v>
      </c>
      <c r="K93" s="245">
        <f t="shared" si="46"/>
        <v>266.90077531344656</v>
      </c>
    </row>
    <row r="94" spans="1:43" x14ac:dyDescent="0.3">
      <c r="A94" t="s">
        <v>569</v>
      </c>
      <c r="C94" s="245">
        <f t="shared" si="38"/>
        <v>0.55555555555555558</v>
      </c>
      <c r="D94" s="245">
        <f t="shared" si="39"/>
        <v>0.55555555555555558</v>
      </c>
      <c r="E94" s="265">
        <f t="shared" si="40"/>
        <v>97.5</v>
      </c>
      <c r="F94" s="245">
        <f t="shared" si="41"/>
        <v>148.89279702386102</v>
      </c>
      <c r="G94" s="245">
        <f t="shared" si="42"/>
        <v>164.47027790691646</v>
      </c>
      <c r="H94" s="245">
        <f t="shared" si="43"/>
        <v>181.67750794850951</v>
      </c>
      <c r="I94" s="245">
        <f t="shared" si="44"/>
        <v>200.68499496949352</v>
      </c>
      <c r="J94" s="245">
        <f t="shared" si="45"/>
        <v>221.6810856813388</v>
      </c>
      <c r="K94" s="245">
        <f t="shared" si="46"/>
        <v>244.87383202878374</v>
      </c>
    </row>
    <row r="95" spans="1:43" x14ac:dyDescent="0.3">
      <c r="A95" t="s">
        <v>570</v>
      </c>
      <c r="C95" s="245">
        <f t="shared" si="38"/>
        <v>46.52</v>
      </c>
      <c r="D95" s="245">
        <f t="shared" si="39"/>
        <v>34.89</v>
      </c>
      <c r="E95" s="265">
        <f t="shared" si="40"/>
        <v>71.944444444444443</v>
      </c>
      <c r="F95" s="245">
        <f t="shared" si="41"/>
        <v>45.294263032083258</v>
      </c>
      <c r="G95" s="245">
        <f t="shared" si="42"/>
        <v>40.879797707147134</v>
      </c>
      <c r="H95" s="245">
        <f t="shared" si="43"/>
        <v>36.895574598344645</v>
      </c>
      <c r="I95" s="245">
        <f t="shared" si="44"/>
        <v>33.299661478119724</v>
      </c>
      <c r="J95" s="245">
        <f t="shared" si="45"/>
        <v>30.054212913846882</v>
      </c>
      <c r="K95" s="245">
        <f t="shared" si="46"/>
        <v>27.125071960997104</v>
      </c>
    </row>
    <row r="96" spans="1:43" x14ac:dyDescent="0.3">
      <c r="A96" t="s">
        <v>571</v>
      </c>
      <c r="C96" s="245">
        <f t="shared" si="38"/>
        <v>37.777777777777779</v>
      </c>
      <c r="D96" s="245">
        <f t="shared" si="39"/>
        <v>0</v>
      </c>
      <c r="E96" s="265">
        <f t="shared" si="40"/>
        <v>380.83333333333326</v>
      </c>
      <c r="F96" s="245">
        <f t="shared" si="41"/>
        <v>461.19436265085324</v>
      </c>
      <c r="G96" s="245">
        <f t="shared" si="42"/>
        <v>496.95969534409949</v>
      </c>
      <c r="H96" s="245">
        <f t="shared" si="43"/>
        <v>535.49860708828248</v>
      </c>
      <c r="I96" s="245">
        <f t="shared" si="44"/>
        <v>577.02618719398617</v>
      </c>
      <c r="J96" s="245">
        <f t="shared" si="45"/>
        <v>621.77420501252118</v>
      </c>
      <c r="K96" s="245">
        <f t="shared" si="46"/>
        <v>669.9924034625891</v>
      </c>
    </row>
    <row r="97" spans="1:22" x14ac:dyDescent="0.3">
      <c r="A97" t="s">
        <v>544</v>
      </c>
      <c r="C97" s="245">
        <f t="shared" si="38"/>
        <v>37.055555555555557</v>
      </c>
      <c r="D97" s="245">
        <f t="shared" si="39"/>
        <v>23</v>
      </c>
      <c r="E97" s="265">
        <f t="shared" si="40"/>
        <v>25.833333333333336</v>
      </c>
      <c r="F97" s="245">
        <f t="shared" si="41"/>
        <v>165.06609167139371</v>
      </c>
      <c r="G97" s="245">
        <f t="shared" si="42"/>
        <v>297.18308402608079</v>
      </c>
      <c r="H97" s="245">
        <f t="shared" si="43"/>
        <v>388.65022556339983</v>
      </c>
      <c r="I97" s="245">
        <f t="shared" si="44"/>
        <v>439.22884694601748</v>
      </c>
      <c r="J97" s="245">
        <f t="shared" si="45"/>
        <v>448.26882576167526</v>
      </c>
      <c r="K97" s="245">
        <f t="shared" si="46"/>
        <v>414.70893914460953</v>
      </c>
    </row>
    <row r="98" spans="1:22" x14ac:dyDescent="0.3">
      <c r="A98" t="s">
        <v>572</v>
      </c>
      <c r="C98" s="245">
        <f t="shared" si="38"/>
        <v>8735.6295555555535</v>
      </c>
      <c r="D98" s="245">
        <f t="shared" si="39"/>
        <v>8820.8640277777777</v>
      </c>
      <c r="E98" s="265">
        <f t="shared" si="40"/>
        <v>9177.7777777777792</v>
      </c>
      <c r="F98" s="245">
        <f t="shared" si="41"/>
        <v>10115.538147208334</v>
      </c>
      <c r="G98" s="245">
        <f t="shared" si="42"/>
        <v>10631.532254885893</v>
      </c>
      <c r="H98" s="245">
        <f t="shared" si="43"/>
        <v>11173.847247847387</v>
      </c>
      <c r="I98" s="245">
        <f t="shared" si="44"/>
        <v>11743.825755769827</v>
      </c>
      <c r="J98" s="245">
        <f t="shared" si="45"/>
        <v>12342.878895937316</v>
      </c>
      <c r="K98" s="245">
        <f t="shared" si="46"/>
        <v>12972.489766797309</v>
      </c>
    </row>
    <row r="99" spans="1:22" ht="15" customHeight="1" x14ac:dyDescent="0.3"/>
    <row r="100" spans="1:22" ht="15" customHeight="1" x14ac:dyDescent="0.3"/>
    <row r="101" spans="1:22" ht="15" customHeight="1" x14ac:dyDescent="0.3">
      <c r="B101" s="382" t="s">
        <v>575</v>
      </c>
    </row>
    <row r="102" spans="1:22" ht="15" customHeight="1" x14ac:dyDescent="0.3">
      <c r="B102" s="385"/>
    </row>
    <row r="103" spans="1:22" ht="44.25" customHeight="1" x14ac:dyDescent="0.3">
      <c r="B103" s="392" t="s">
        <v>576</v>
      </c>
      <c r="V103" t="s">
        <v>574</v>
      </c>
    </row>
    <row r="104" spans="1:22" ht="39.75" customHeight="1" x14ac:dyDescent="0.3">
      <c r="B104" s="392" t="s">
        <v>577</v>
      </c>
    </row>
    <row r="105" spans="1:22" ht="15" customHeight="1" x14ac:dyDescent="0.3"/>
    <row r="106" spans="1:22" ht="15" customHeight="1" x14ac:dyDescent="0.3"/>
    <row r="107" spans="1:22" ht="15" customHeight="1" x14ac:dyDescent="0.3"/>
    <row r="120" spans="1:23" ht="15.6" x14ac:dyDescent="0.3">
      <c r="D120" s="391" t="s">
        <v>578</v>
      </c>
    </row>
    <row r="121" spans="1:23" ht="19.5" customHeight="1" x14ac:dyDescent="0.3"/>
    <row r="122" spans="1:23" ht="19.5" customHeight="1" x14ac:dyDescent="0.3">
      <c r="A122" s="389"/>
      <c r="B122" s="390" t="s">
        <v>579</v>
      </c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</row>
    <row r="123" spans="1:23" ht="19.5" customHeight="1" x14ac:dyDescent="0.3">
      <c r="B123" s="382" t="s">
        <v>580</v>
      </c>
    </row>
    <row r="124" spans="1:23" ht="19.5" customHeight="1" x14ac:dyDescent="0.3">
      <c r="B124" s="383" t="s">
        <v>581</v>
      </c>
    </row>
    <row r="125" spans="1:23" ht="19.5" customHeight="1" x14ac:dyDescent="0.3">
      <c r="B125" s="392" t="s">
        <v>582</v>
      </c>
    </row>
    <row r="126" spans="1:23" ht="19.5" customHeight="1" x14ac:dyDescent="0.3">
      <c r="B126" s="392" t="s">
        <v>583</v>
      </c>
    </row>
    <row r="127" spans="1:23" ht="19.5" customHeight="1" x14ac:dyDescent="0.3">
      <c r="B127" s="392" t="s">
        <v>584</v>
      </c>
    </row>
    <row r="129" spans="2:31" ht="18" x14ac:dyDescent="0.35">
      <c r="B129" s="430" t="s">
        <v>585</v>
      </c>
      <c r="C129" s="430"/>
      <c r="D129" s="430"/>
      <c r="E129" s="430"/>
      <c r="F129" s="430"/>
      <c r="G129" s="430"/>
      <c r="H129" s="430"/>
      <c r="I129" s="430"/>
      <c r="J129" s="430"/>
    </row>
    <row r="130" spans="2:31" x14ac:dyDescent="0.3">
      <c r="B130" s="149"/>
      <c r="C130" s="398" t="s">
        <v>586</v>
      </c>
      <c r="D130" s="398">
        <v>2020</v>
      </c>
      <c r="E130" s="398">
        <v>2025</v>
      </c>
      <c r="F130" s="398">
        <v>2030</v>
      </c>
      <c r="G130" s="398">
        <v>2035</v>
      </c>
      <c r="H130" s="398">
        <v>2040</v>
      </c>
      <c r="I130" s="398">
        <v>2045</v>
      </c>
      <c r="J130" s="398">
        <v>2050</v>
      </c>
    </row>
    <row r="131" spans="2:31" x14ac:dyDescent="0.3">
      <c r="B131" s="399" t="s">
        <v>543</v>
      </c>
      <c r="C131" s="395">
        <f>C133-C132</f>
        <v>8.92</v>
      </c>
      <c r="D131" s="396">
        <v>9.0059794252665597</v>
      </c>
      <c r="E131" s="396">
        <v>8.7452837689388137</v>
      </c>
      <c r="F131" s="396">
        <v>8.5295417668263873</v>
      </c>
      <c r="G131" s="396">
        <v>8.3437688675242079</v>
      </c>
      <c r="H131" s="396">
        <v>8.1579959682221741</v>
      </c>
      <c r="I131" s="396">
        <v>7.9722230689200035</v>
      </c>
      <c r="J131" s="396">
        <v>7.7864501696178285</v>
      </c>
      <c r="L131" s="256"/>
      <c r="U131" s="340">
        <v>2020</v>
      </c>
      <c r="V131" s="341" t="s">
        <v>587</v>
      </c>
      <c r="W131" s="341" t="s">
        <v>588</v>
      </c>
      <c r="X131" s="341" t="s">
        <v>589</v>
      </c>
      <c r="Y131" s="341" t="s">
        <v>590</v>
      </c>
      <c r="Z131" s="341" t="s">
        <v>591</v>
      </c>
      <c r="AA131" s="341" t="s">
        <v>592</v>
      </c>
      <c r="AB131" s="341" t="s">
        <v>593</v>
      </c>
      <c r="AC131" s="341" t="s">
        <v>594</v>
      </c>
      <c r="AD131" s="341" t="s">
        <v>595</v>
      </c>
    </row>
    <row r="132" spans="2:31" x14ac:dyDescent="0.3">
      <c r="B132" s="399" t="s">
        <v>544</v>
      </c>
      <c r="C132" s="395">
        <v>1.9</v>
      </c>
      <c r="D132" s="396">
        <v>1.9612246571781671</v>
      </c>
      <c r="E132" s="396">
        <v>2.0034156858250611</v>
      </c>
      <c r="F132" s="396">
        <v>2.0485083218103943</v>
      </c>
      <c r="G132" s="396">
        <v>2.0955353626880466</v>
      </c>
      <c r="H132" s="396">
        <v>2.1425624035656958</v>
      </c>
      <c r="I132" s="396">
        <v>2.1895894444433428</v>
      </c>
      <c r="J132" s="396">
        <v>2.236616485320992</v>
      </c>
      <c r="U132" s="342" t="s">
        <v>596</v>
      </c>
      <c r="V132" s="343">
        <v>18800000</v>
      </c>
      <c r="W132" s="343">
        <v>22900000</v>
      </c>
      <c r="X132" s="343">
        <v>4200000</v>
      </c>
      <c r="Y132" s="343">
        <v>4000000</v>
      </c>
      <c r="Z132" s="343">
        <v>3700000</v>
      </c>
      <c r="AA132" s="343">
        <v>4800000</v>
      </c>
      <c r="AB132" s="345">
        <v>58400000</v>
      </c>
      <c r="AC132" s="343">
        <v>41700000</v>
      </c>
      <c r="AD132" s="343">
        <v>16700000</v>
      </c>
      <c r="AE132" t="s">
        <v>597</v>
      </c>
    </row>
    <row r="133" spans="2:31" x14ac:dyDescent="0.3">
      <c r="B133" s="399" t="s">
        <v>598</v>
      </c>
      <c r="C133" s="395">
        <v>10.82</v>
      </c>
      <c r="D133" s="396">
        <v>10.967204082444727</v>
      </c>
      <c r="E133" s="396">
        <v>10.748699454763875</v>
      </c>
      <c r="F133" s="396">
        <v>10.578050088636783</v>
      </c>
      <c r="G133" s="396">
        <v>10.439304230212255</v>
      </c>
      <c r="H133" s="396">
        <v>10.30055837178787</v>
      </c>
      <c r="I133" s="396">
        <v>10.161812513363346</v>
      </c>
      <c r="J133" s="396">
        <v>10.02306665493882</v>
      </c>
      <c r="U133" s="342" t="s">
        <v>599</v>
      </c>
      <c r="V133" s="346" t="s">
        <v>600</v>
      </c>
      <c r="W133" s="347" t="s">
        <v>600</v>
      </c>
      <c r="X133" s="346" t="s">
        <v>601</v>
      </c>
      <c r="Y133" s="347" t="s">
        <v>600</v>
      </c>
      <c r="Z133" s="346" t="s">
        <v>601</v>
      </c>
      <c r="AA133" s="347" t="s">
        <v>601</v>
      </c>
      <c r="AB133" s="344" t="s">
        <v>600</v>
      </c>
      <c r="AC133" s="348" t="s">
        <v>600</v>
      </c>
      <c r="AD133" s="348" t="s">
        <v>602</v>
      </c>
    </row>
    <row r="134" spans="2:31" x14ac:dyDescent="0.3">
      <c r="B134" s="399" t="s">
        <v>603</v>
      </c>
      <c r="C134" s="395">
        <v>0</v>
      </c>
      <c r="D134" s="396">
        <v>-1.3244766025254878E-2</v>
      </c>
      <c r="E134" s="396">
        <v>-5.7259205894405009E-2</v>
      </c>
      <c r="F134" s="396">
        <v>-0.11934167201423525</v>
      </c>
      <c r="G134" s="396">
        <v>-0.19300859792140329</v>
      </c>
      <c r="H134" s="396">
        <v>-0.23578363106233718</v>
      </c>
      <c r="I134" s="396">
        <v>-0.29400461058638777</v>
      </c>
      <c r="J134" s="396">
        <v>-0.35222559011043875</v>
      </c>
      <c r="U134" s="342" t="s">
        <v>604</v>
      </c>
      <c r="V134" s="343">
        <v>3600000</v>
      </c>
      <c r="W134" s="343">
        <v>8100000</v>
      </c>
      <c r="X134" s="343">
        <v>1600000</v>
      </c>
      <c r="Y134" s="343">
        <v>2600000</v>
      </c>
      <c r="Z134" s="349">
        <v>550000</v>
      </c>
      <c r="AA134" s="349">
        <v>1200000</v>
      </c>
      <c r="AB134" s="345">
        <v>17650000</v>
      </c>
      <c r="AC134" s="343">
        <v>11700000</v>
      </c>
      <c r="AD134" s="343">
        <v>5950000</v>
      </c>
    </row>
    <row r="135" spans="2:31" x14ac:dyDescent="0.3">
      <c r="U135" s="342" t="s">
        <v>605</v>
      </c>
      <c r="V135" s="346" t="s">
        <v>600</v>
      </c>
      <c r="W135" s="347" t="s">
        <v>600</v>
      </c>
      <c r="X135" s="346" t="s">
        <v>601</v>
      </c>
      <c r="Y135" s="347" t="s">
        <v>600</v>
      </c>
      <c r="Z135" s="346" t="s">
        <v>601</v>
      </c>
      <c r="AA135" s="347" t="s">
        <v>601</v>
      </c>
      <c r="AB135" s="344" t="s">
        <v>600</v>
      </c>
      <c r="AC135" s="348" t="s">
        <v>600</v>
      </c>
      <c r="AD135" s="348" t="s">
        <v>602</v>
      </c>
    </row>
    <row r="136" spans="2:31" ht="18" x14ac:dyDescent="0.35">
      <c r="B136" s="430" t="s">
        <v>606</v>
      </c>
      <c r="C136" s="430"/>
      <c r="D136" s="430"/>
      <c r="E136" s="430"/>
      <c r="F136" s="430"/>
      <c r="G136" s="430"/>
      <c r="H136" s="430"/>
      <c r="I136" s="430"/>
      <c r="J136" s="430"/>
      <c r="U136" s="342" t="s">
        <v>572</v>
      </c>
      <c r="V136" s="343">
        <v>22400000</v>
      </c>
      <c r="W136" s="343">
        <v>31000000</v>
      </c>
      <c r="X136" s="343">
        <v>5800000</v>
      </c>
      <c r="Y136" s="343">
        <v>6600000</v>
      </c>
      <c r="Z136" s="343">
        <v>4250000</v>
      </c>
      <c r="AA136" s="343">
        <v>6000000</v>
      </c>
      <c r="AB136" s="345">
        <v>76050000</v>
      </c>
      <c r="AC136" s="343">
        <v>53400000</v>
      </c>
      <c r="AD136" s="343">
        <v>22650000</v>
      </c>
    </row>
    <row r="137" spans="2:31" x14ac:dyDescent="0.3">
      <c r="B137" s="149"/>
      <c r="C137" s="398" t="s">
        <v>586</v>
      </c>
      <c r="D137" s="398">
        <v>2020</v>
      </c>
      <c r="E137" s="398">
        <v>2025</v>
      </c>
      <c r="F137" s="398">
        <v>2030</v>
      </c>
      <c r="G137" s="398">
        <v>2035</v>
      </c>
      <c r="H137" s="398">
        <v>2040</v>
      </c>
      <c r="I137" s="398">
        <v>2045</v>
      </c>
      <c r="J137" s="398">
        <v>2050</v>
      </c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</row>
    <row r="138" spans="2:31" x14ac:dyDescent="0.3">
      <c r="B138" s="399" t="s">
        <v>551</v>
      </c>
      <c r="C138" s="395">
        <f>C140-C139</f>
        <v>2.4800000000000004</v>
      </c>
      <c r="D138" s="396">
        <v>2.6773382005112145</v>
      </c>
      <c r="E138" s="396">
        <v>2.6379632410829572</v>
      </c>
      <c r="F138" s="396">
        <v>2.6010530316108262</v>
      </c>
      <c r="G138" s="396">
        <v>2.565785988776089</v>
      </c>
      <c r="H138" s="396">
        <v>2.5305189459413371</v>
      </c>
      <c r="I138" s="396">
        <v>2.4952519031066163</v>
      </c>
      <c r="J138" s="396">
        <v>2.4599848602718781</v>
      </c>
      <c r="L138" s="258"/>
      <c r="U138" s="340" t="s">
        <v>607</v>
      </c>
      <c r="V138" s="341" t="s">
        <v>587</v>
      </c>
      <c r="W138" s="341" t="s">
        <v>588</v>
      </c>
      <c r="X138" s="341" t="s">
        <v>589</v>
      </c>
      <c r="Y138" s="341" t="s">
        <v>590</v>
      </c>
      <c r="Z138" s="341" t="s">
        <v>591</v>
      </c>
      <c r="AA138" s="341" t="s">
        <v>592</v>
      </c>
      <c r="AB138" s="341" t="s">
        <v>593</v>
      </c>
      <c r="AC138" s="341" t="s">
        <v>594</v>
      </c>
      <c r="AD138" s="341" t="s">
        <v>595</v>
      </c>
      <c r="AE138" t="s">
        <v>597</v>
      </c>
    </row>
    <row r="139" spans="2:31" x14ac:dyDescent="0.3">
      <c r="B139" s="399" t="s">
        <v>544</v>
      </c>
      <c r="C139" s="395">
        <v>2.71</v>
      </c>
      <c r="D139" s="396">
        <v>2.860070548123427</v>
      </c>
      <c r="E139" s="396">
        <v>2.917993640274489</v>
      </c>
      <c r="F139" s="396">
        <v>2.9765588060784665</v>
      </c>
      <c r="G139" s="396">
        <v>3.0355822555222804</v>
      </c>
      <c r="H139" s="396">
        <v>3.0946964085797219</v>
      </c>
      <c r="I139" s="396">
        <v>3.1539012652507892</v>
      </c>
      <c r="J139" s="396">
        <v>3.2131968255354937</v>
      </c>
      <c r="L139" s="258"/>
      <c r="U139" s="431" t="s">
        <v>608</v>
      </c>
      <c r="V139" s="343">
        <v>95000</v>
      </c>
      <c r="W139" s="343">
        <v>110000</v>
      </c>
      <c r="X139" s="343">
        <v>20000</v>
      </c>
      <c r="Y139" s="343">
        <v>20000</v>
      </c>
      <c r="Z139" s="343">
        <v>10000</v>
      </c>
      <c r="AA139" s="343">
        <v>20000</v>
      </c>
      <c r="AB139" s="345">
        <v>275000</v>
      </c>
      <c r="AC139" s="343">
        <v>205000</v>
      </c>
      <c r="AD139" s="343">
        <v>70000</v>
      </c>
    </row>
    <row r="140" spans="2:31" x14ac:dyDescent="0.3">
      <c r="B140" s="399" t="s">
        <v>609</v>
      </c>
      <c r="C140" s="395">
        <v>5.19</v>
      </c>
      <c r="D140" s="396">
        <v>5.5374087486346415</v>
      </c>
      <c r="E140" s="396">
        <v>5.5559568813574458</v>
      </c>
      <c r="F140" s="396">
        <v>5.5776118376892931</v>
      </c>
      <c r="G140" s="396">
        <v>5.601368244298369</v>
      </c>
      <c r="H140" s="396">
        <v>5.6252153545210586</v>
      </c>
      <c r="I140" s="396">
        <v>5.6491531683574054</v>
      </c>
      <c r="J140" s="396">
        <v>5.6731816858073714</v>
      </c>
      <c r="L140" s="258"/>
      <c r="U140" s="432"/>
      <c r="V140" s="350">
        <f>V139/V$136</f>
        <v>4.2410714285714282E-3</v>
      </c>
      <c r="W140" s="350">
        <f t="shared" ref="W140:AD140" si="47">W139/W$136</f>
        <v>3.5483870967741938E-3</v>
      </c>
      <c r="X140" s="350">
        <f t="shared" si="47"/>
        <v>3.4482758620689655E-3</v>
      </c>
      <c r="Y140" s="350">
        <f t="shared" si="47"/>
        <v>3.0303030303030303E-3</v>
      </c>
      <c r="Z140" s="350">
        <f t="shared" si="47"/>
        <v>2.352941176470588E-3</v>
      </c>
      <c r="AA140" s="350">
        <f t="shared" si="47"/>
        <v>3.3333333333333335E-3</v>
      </c>
      <c r="AB140" s="351">
        <f t="shared" si="47"/>
        <v>3.6160420775805391E-3</v>
      </c>
      <c r="AC140" s="350">
        <f t="shared" si="47"/>
        <v>3.8389513108614231E-3</v>
      </c>
      <c r="AD140" s="350">
        <f t="shared" si="47"/>
        <v>3.0905077262693157E-3</v>
      </c>
    </row>
    <row r="141" spans="2:31" x14ac:dyDescent="0.3">
      <c r="B141" s="399" t="s">
        <v>603</v>
      </c>
      <c r="C141" s="395">
        <v>0</v>
      </c>
      <c r="D141" s="397">
        <v>-3.6051641722675331E-6</v>
      </c>
      <c r="E141" s="397">
        <v>-2.0018027821032825E-4</v>
      </c>
      <c r="F141" s="397">
        <v>-3.7877153545498571E-4</v>
      </c>
      <c r="G141" s="397">
        <v>-5.9333050628644949E-4</v>
      </c>
      <c r="H141" s="397">
        <v>-7.1197557421976343E-4</v>
      </c>
      <c r="I141" s="397">
        <v>-8.7857759360215231E-4</v>
      </c>
      <c r="J141" s="397">
        <v>-1.0451796129845405E-3</v>
      </c>
      <c r="L141" s="246"/>
      <c r="U141" s="431" t="s">
        <v>610</v>
      </c>
      <c r="V141" s="343">
        <v>245000</v>
      </c>
      <c r="W141" s="343">
        <v>310000</v>
      </c>
      <c r="X141" s="343">
        <v>75000</v>
      </c>
      <c r="Y141" s="343">
        <v>65000</v>
      </c>
      <c r="Z141" s="343">
        <v>35000</v>
      </c>
      <c r="AA141" s="343">
        <v>50000</v>
      </c>
      <c r="AB141" s="345">
        <v>780000</v>
      </c>
      <c r="AC141" s="343">
        <v>555000</v>
      </c>
      <c r="AD141" s="343">
        <v>225000</v>
      </c>
    </row>
    <row r="142" spans="2:31" ht="15.6" customHeight="1" x14ac:dyDescent="0.3">
      <c r="U142" s="432"/>
      <c r="V142" s="350">
        <f>V141/V$136</f>
        <v>1.0937499999999999E-2</v>
      </c>
      <c r="W142" s="350">
        <f t="shared" ref="W142" si="48">W141/W$136</f>
        <v>0.01</v>
      </c>
      <c r="X142" s="350">
        <f t="shared" ref="X142" si="49">X141/X$136</f>
        <v>1.2931034482758621E-2</v>
      </c>
      <c r="Y142" s="350">
        <f t="shared" ref="Y142" si="50">Y141/Y$136</f>
        <v>9.8484848484848477E-3</v>
      </c>
      <c r="Z142" s="350">
        <f t="shared" ref="Z142" si="51">Z141/Z$136</f>
        <v>8.2352941176470594E-3</v>
      </c>
      <c r="AA142" s="350">
        <f t="shared" ref="AA142" si="52">AA141/AA$136</f>
        <v>8.3333333333333332E-3</v>
      </c>
      <c r="AB142" s="351">
        <f t="shared" ref="AB142" si="53">AB141/AB$136</f>
        <v>1.0256410256410256E-2</v>
      </c>
      <c r="AC142" s="350">
        <f t="shared" ref="AC142" si="54">AC141/AC$136</f>
        <v>1.0393258426966293E-2</v>
      </c>
      <c r="AD142" s="350">
        <f t="shared" ref="AD142" si="55">AD141/AD$136</f>
        <v>9.9337748344370865E-3</v>
      </c>
    </row>
    <row r="143" spans="2:31" ht="15.6" customHeight="1" x14ac:dyDescent="0.35">
      <c r="B143" s="430" t="s">
        <v>611</v>
      </c>
      <c r="C143" s="430"/>
      <c r="D143" s="430"/>
      <c r="E143" s="430"/>
      <c r="F143" s="430"/>
      <c r="G143" s="430"/>
      <c r="H143" s="430"/>
      <c r="I143" s="430"/>
      <c r="L143" s="374"/>
      <c r="U143" s="431" t="s">
        <v>612</v>
      </c>
      <c r="V143" s="343">
        <v>85000</v>
      </c>
      <c r="W143" s="343">
        <v>280000</v>
      </c>
      <c r="X143" s="343">
        <v>47500</v>
      </c>
      <c r="Y143" s="343">
        <v>62500</v>
      </c>
      <c r="Z143" s="343">
        <v>42250</v>
      </c>
      <c r="AA143" s="343">
        <v>20000</v>
      </c>
      <c r="AB143" s="345">
        <v>537250</v>
      </c>
      <c r="AC143" s="343">
        <v>365000</v>
      </c>
      <c r="AD143" s="343">
        <v>172250</v>
      </c>
    </row>
    <row r="144" spans="2:31" x14ac:dyDescent="0.3">
      <c r="B144" s="149"/>
      <c r="C144" s="398">
        <v>2020</v>
      </c>
      <c r="D144" s="398">
        <v>2025</v>
      </c>
      <c r="E144" s="398">
        <v>2030</v>
      </c>
      <c r="F144" s="398">
        <v>2035</v>
      </c>
      <c r="G144" s="398">
        <v>2040</v>
      </c>
      <c r="H144" s="398">
        <v>2045</v>
      </c>
      <c r="I144" s="398">
        <v>2050</v>
      </c>
      <c r="U144" s="431"/>
      <c r="V144" s="400">
        <f>V143/V$136</f>
        <v>3.7946428571428571E-3</v>
      </c>
      <c r="W144" s="400">
        <f t="shared" ref="W144" si="56">W143/W$136</f>
        <v>9.0322580645161299E-3</v>
      </c>
      <c r="X144" s="400">
        <f t="shared" ref="X144" si="57">X143/X$136</f>
        <v>8.1896551724137939E-3</v>
      </c>
      <c r="Y144" s="400">
        <f t="shared" ref="Y144" si="58">Y143/Y$136</f>
        <v>9.46969696969697E-3</v>
      </c>
      <c r="Z144" s="400">
        <f t="shared" ref="Z144" si="59">Z143/Z$136</f>
        <v>9.9411764705882345E-3</v>
      </c>
      <c r="AA144" s="400">
        <f t="shared" ref="AA144" si="60">AA143/AA$136</f>
        <v>3.3333333333333335E-3</v>
      </c>
      <c r="AB144" s="401">
        <f t="shared" ref="AB144" si="61">AB143/AB$136</f>
        <v>7.0644312952005258E-3</v>
      </c>
      <c r="AC144" s="400">
        <f t="shared" ref="AC144" si="62">AC143/AC$136</f>
        <v>6.8352059925093633E-3</v>
      </c>
      <c r="AD144" s="400">
        <f t="shared" ref="AD144" si="63">AD143/AD$136</f>
        <v>7.60485651214128E-3</v>
      </c>
    </row>
    <row r="145" spans="2:32" x14ac:dyDescent="0.3">
      <c r="B145" s="399" t="s">
        <v>551</v>
      </c>
      <c r="C145" s="396">
        <v>11.683317625777775</v>
      </c>
      <c r="D145" s="396">
        <v>11.383247010021771</v>
      </c>
      <c r="E145" s="396">
        <v>11.130594798437214</v>
      </c>
      <c r="F145" s="396">
        <v>10.909554856300296</v>
      </c>
      <c r="G145" s="396">
        <v>10.688514914163511</v>
      </c>
      <c r="H145" s="396">
        <v>10.46747497202662</v>
      </c>
      <c r="I145" s="396">
        <v>10.246435029889707</v>
      </c>
      <c r="U145" s="429" t="s">
        <v>613</v>
      </c>
      <c r="V145" s="404">
        <v>67105.263157894733</v>
      </c>
      <c r="W145" s="404">
        <v>140000</v>
      </c>
      <c r="X145" s="406" t="s">
        <v>614</v>
      </c>
      <c r="Y145" s="406" t="s">
        <v>614</v>
      </c>
      <c r="Z145" s="404">
        <v>29574.999999999996</v>
      </c>
      <c r="AA145" s="406" t="s">
        <v>614</v>
      </c>
      <c r="AB145" s="405">
        <v>379355.26315789472</v>
      </c>
      <c r="AC145" s="404">
        <v>207105.26315789472</v>
      </c>
      <c r="AD145" s="404">
        <v>159575</v>
      </c>
    </row>
    <row r="146" spans="2:32" x14ac:dyDescent="0.3">
      <c r="B146" s="399" t="s">
        <v>544</v>
      </c>
      <c r="C146" s="396">
        <v>4.8212952053015936</v>
      </c>
      <c r="D146" s="396">
        <v>4.9214093260995497</v>
      </c>
      <c r="E146" s="396">
        <v>5.0250671278888603</v>
      </c>
      <c r="F146" s="396">
        <v>5.1311176182103271</v>
      </c>
      <c r="G146" s="396">
        <v>5.2372588121454182</v>
      </c>
      <c r="H146" s="396">
        <v>5.343490709694132</v>
      </c>
      <c r="I146" s="396">
        <v>5.4498133108564861</v>
      </c>
      <c r="L146" s="256"/>
      <c r="U146" s="429"/>
      <c r="V146" s="402">
        <v>3.0000000000000001E-3</v>
      </c>
      <c r="W146" s="402">
        <v>4.4999999999999997E-3</v>
      </c>
      <c r="X146" s="407" t="s">
        <v>614</v>
      </c>
      <c r="Y146" s="407" t="s">
        <v>614</v>
      </c>
      <c r="Z146" s="402">
        <v>7.0000000000000001E-3</v>
      </c>
      <c r="AA146" s="407" t="s">
        <v>614</v>
      </c>
      <c r="AB146" s="403">
        <v>4.9882348870203116E-3</v>
      </c>
      <c r="AC146" s="402">
        <v>3.8783757145673167E-3</v>
      </c>
      <c r="AD146" s="402">
        <v>7.0452538631346579E-3</v>
      </c>
    </row>
    <row r="147" spans="2:32" x14ac:dyDescent="0.3">
      <c r="B147" s="399" t="s">
        <v>609</v>
      </c>
      <c r="C147" s="396">
        <v>16.50461283107937</v>
      </c>
      <c r="D147" s="396">
        <v>16.304656336121319</v>
      </c>
      <c r="E147" s="396">
        <v>16.155661926326076</v>
      </c>
      <c r="F147" s="396">
        <v>16.040672474510622</v>
      </c>
      <c r="G147" s="396">
        <v>15.925773726308929</v>
      </c>
      <c r="H147" s="396">
        <v>15.810965681720752</v>
      </c>
      <c r="I147" s="396">
        <v>15.696248340746191</v>
      </c>
    </row>
    <row r="148" spans="2:32" x14ac:dyDescent="0.3">
      <c r="B148" s="399" t="s">
        <v>603</v>
      </c>
      <c r="C148" s="396">
        <v>-1.3248371189427146E-2</v>
      </c>
      <c r="D148" s="396">
        <v>-5.745938617261534E-2</v>
      </c>
      <c r="E148" s="396">
        <v>-0.11972044354969023</v>
      </c>
      <c r="F148" s="396">
        <v>-0.19360192842768975</v>
      </c>
      <c r="G148" s="396">
        <v>-0.23649560663655694</v>
      </c>
      <c r="H148" s="396">
        <v>-0.29488318817998993</v>
      </c>
      <c r="I148" s="396">
        <v>-0.35327076972342331</v>
      </c>
      <c r="L148" s="258"/>
      <c r="U148" s="258" t="s">
        <v>615</v>
      </c>
    </row>
    <row r="149" spans="2:32" x14ac:dyDescent="0.3">
      <c r="L149" s="258"/>
      <c r="V149" s="353">
        <v>2011</v>
      </c>
      <c r="W149" s="353">
        <v>2012</v>
      </c>
      <c r="X149" s="353">
        <v>2013</v>
      </c>
      <c r="Y149" s="353">
        <v>2014</v>
      </c>
      <c r="Z149" s="353">
        <v>2015</v>
      </c>
      <c r="AA149" s="353">
        <v>2016</v>
      </c>
      <c r="AB149" s="353">
        <v>2017</v>
      </c>
      <c r="AC149" s="353">
        <v>2018</v>
      </c>
      <c r="AD149" s="353">
        <v>2019</v>
      </c>
      <c r="AE149" s="353">
        <v>2020</v>
      </c>
      <c r="AF149" s="353">
        <v>2021</v>
      </c>
    </row>
    <row r="150" spans="2:32" x14ac:dyDescent="0.3">
      <c r="L150" s="258"/>
      <c r="U150" s="352" t="s">
        <v>616</v>
      </c>
      <c r="V150" s="408">
        <f>'Households (GWh)'!D72</f>
        <v>278731</v>
      </c>
      <c r="W150" s="408">
        <f>'Households (GWh)'!E72</f>
        <v>408523</v>
      </c>
      <c r="X150" s="408">
        <f>'Households (GWh)'!F72</f>
        <v>427104</v>
      </c>
      <c r="Y150" s="408">
        <f>'Households (GWh)'!G72</f>
        <v>883089</v>
      </c>
      <c r="Z150" s="408">
        <f>'Households (GWh)'!H72</f>
        <v>986325</v>
      </c>
      <c r="AA150" s="408">
        <f>'Households (GWh)'!I72</f>
        <v>1143774</v>
      </c>
      <c r="AB150" s="408">
        <f>'Households (GWh)'!J72</f>
        <v>1233013</v>
      </c>
      <c r="AC150" s="408">
        <f>'Households (GWh)'!K72</f>
        <v>1296951</v>
      </c>
      <c r="AD150" s="408">
        <f>'Households (GWh)'!L72</f>
        <v>1598075</v>
      </c>
      <c r="AE150" s="408">
        <f>'Households (GWh)'!M72</f>
        <v>1529054</v>
      </c>
      <c r="AF150" s="408">
        <f>'Households (GWh)'!N72</f>
        <v>1890258</v>
      </c>
    </row>
    <row r="151" spans="2:32" x14ac:dyDescent="0.3">
      <c r="U151" s="352" t="s">
        <v>617</v>
      </c>
      <c r="V151" s="409">
        <f>'Households (GWh)'!D71</f>
        <v>33755</v>
      </c>
      <c r="W151" s="409">
        <f>'Households (GWh)'!E71</f>
        <v>43913</v>
      </c>
      <c r="X151" s="409">
        <f>'Households (GWh)'!F71</f>
        <v>47300</v>
      </c>
      <c r="Y151" s="409">
        <f>'Households (GWh)'!G71</f>
        <v>52645</v>
      </c>
      <c r="Z151" s="409">
        <f>'Households (GWh)'!H71</f>
        <v>78151</v>
      </c>
      <c r="AA151" s="409">
        <f>'Households (GWh)'!I71</f>
        <v>98567</v>
      </c>
      <c r="AB151" s="409">
        <f>'Households (GWh)'!J71</f>
        <v>110868</v>
      </c>
      <c r="AC151" s="409">
        <f>'Households (GWh)'!K71</f>
        <v>118375</v>
      </c>
      <c r="AD151" s="409">
        <f>'Households (GWh)'!L71</f>
        <v>145147</v>
      </c>
      <c r="AE151" s="409">
        <f>'Households (GWh)'!M71</f>
        <v>195024</v>
      </c>
      <c r="AF151" s="409">
        <f>'Households (GWh)'!N71</f>
        <v>190702</v>
      </c>
    </row>
    <row r="152" spans="2:32" x14ac:dyDescent="0.3">
      <c r="L152" s="258"/>
      <c r="U152" s="352" t="s">
        <v>618</v>
      </c>
      <c r="V152" s="408">
        <f>'Service (GWh)'!D46</f>
        <v>2036115</v>
      </c>
      <c r="W152" s="408">
        <f>'Service (GWh)'!E46</f>
        <v>3050691</v>
      </c>
      <c r="X152" s="408">
        <f>'Service (GWh)'!F46</f>
        <v>2308904</v>
      </c>
      <c r="Y152" s="408">
        <f>'Service (GWh)'!G46</f>
        <v>1756322</v>
      </c>
      <c r="Z152" s="408">
        <f>'Service (GWh)'!H46</f>
        <v>2215304</v>
      </c>
      <c r="AA152" s="408">
        <f>'Service (GWh)'!I46</f>
        <v>1683634</v>
      </c>
      <c r="AB152" s="408">
        <f>'Service (GWh)'!J46</f>
        <v>1768317</v>
      </c>
      <c r="AC152" s="408">
        <f>'Service (GWh)'!K46</f>
        <v>2228108</v>
      </c>
      <c r="AD152" s="408">
        <f>'Service (GWh)'!L46</f>
        <v>2216229</v>
      </c>
      <c r="AE152" s="408">
        <f>'Service (GWh)'!M46</f>
        <v>2970253</v>
      </c>
      <c r="AF152" s="408">
        <f>'Service (GWh)'!N46</f>
        <v>3177694</v>
      </c>
    </row>
    <row r="153" spans="2:32" x14ac:dyDescent="0.3">
      <c r="L153" s="258"/>
    </row>
    <row r="154" spans="2:32" x14ac:dyDescent="0.3">
      <c r="L154" s="258"/>
    </row>
    <row r="155" spans="2:32" x14ac:dyDescent="0.3">
      <c r="L155" s="258"/>
    </row>
    <row r="156" spans="2:32" x14ac:dyDescent="0.3">
      <c r="L156" s="246"/>
      <c r="U156" s="352"/>
    </row>
    <row r="157" spans="2:32" x14ac:dyDescent="0.3">
      <c r="U157" s="352"/>
    </row>
    <row r="158" spans="2:32" x14ac:dyDescent="0.3">
      <c r="L158" s="256"/>
      <c r="U158" s="352"/>
    </row>
    <row r="160" spans="2:32" ht="15.6" x14ac:dyDescent="0.3">
      <c r="L160" s="391"/>
    </row>
    <row r="174" ht="17.25" customHeight="1" x14ac:dyDescent="0.3"/>
    <row r="175" ht="17.25" customHeight="1" x14ac:dyDescent="0.3"/>
    <row r="176" ht="17.25" customHeight="1" x14ac:dyDescent="0.3"/>
    <row r="177" spans="1:20" ht="17.25" customHeight="1" x14ac:dyDescent="0.3"/>
    <row r="178" spans="1:20" ht="17.25" customHeight="1" x14ac:dyDescent="0.3"/>
    <row r="179" spans="1:20" ht="17.25" customHeight="1" x14ac:dyDescent="0.3"/>
    <row r="180" spans="1:20" ht="17.25" customHeight="1" x14ac:dyDescent="0.3">
      <c r="L180" s="391"/>
    </row>
    <row r="182" spans="1:20" x14ac:dyDescent="0.3">
      <c r="A182" s="387"/>
      <c r="B182" s="388" t="s">
        <v>619</v>
      </c>
      <c r="C182" s="387"/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</row>
    <row r="183" spans="1:20" x14ac:dyDescent="0.3">
      <c r="C183" s="256">
        <v>2020</v>
      </c>
      <c r="D183" s="256">
        <v>2025</v>
      </c>
      <c r="E183" s="256">
        <v>2030</v>
      </c>
      <c r="F183" s="256">
        <v>2035</v>
      </c>
      <c r="G183" s="256">
        <v>2040</v>
      </c>
      <c r="H183" s="256">
        <v>2045</v>
      </c>
      <c r="I183" s="256">
        <v>2050</v>
      </c>
    </row>
    <row r="184" spans="1:20" x14ac:dyDescent="0.3">
      <c r="B184" t="s">
        <v>620</v>
      </c>
      <c r="C184" s="252">
        <f>C141/1000</f>
        <v>0</v>
      </c>
      <c r="D184" s="252">
        <f t="shared" ref="D184:I184" si="64">D141/1000</f>
        <v>-3.605164172267533E-9</v>
      </c>
      <c r="E184" s="252">
        <f t="shared" si="64"/>
        <v>-2.0018027821032825E-7</v>
      </c>
      <c r="F184" s="252">
        <f t="shared" si="64"/>
        <v>-3.7877153545498571E-7</v>
      </c>
      <c r="G184" s="252">
        <f t="shared" si="64"/>
        <v>-5.9333050628644951E-7</v>
      </c>
      <c r="H184" s="252">
        <f t="shared" si="64"/>
        <v>-7.1197557421976348E-7</v>
      </c>
      <c r="I184" s="252">
        <f t="shared" si="64"/>
        <v>-8.7857759360215231E-7</v>
      </c>
    </row>
    <row r="185" spans="1:20" x14ac:dyDescent="0.3">
      <c r="B185" t="s">
        <v>621</v>
      </c>
      <c r="C185" s="252">
        <f>C156/1000</f>
        <v>0</v>
      </c>
      <c r="D185" s="252">
        <f t="shared" ref="D185:H185" si="65">D156/1000</f>
        <v>0</v>
      </c>
      <c r="E185" s="252">
        <f t="shared" si="65"/>
        <v>0</v>
      </c>
      <c r="F185" s="252">
        <f t="shared" si="65"/>
        <v>0</v>
      </c>
      <c r="G185" s="252">
        <f t="shared" si="65"/>
        <v>0</v>
      </c>
      <c r="H185" s="252">
        <f t="shared" si="65"/>
        <v>0</v>
      </c>
      <c r="I185" s="252">
        <f>I156/1000</f>
        <v>0</v>
      </c>
    </row>
    <row r="186" spans="1:20" x14ac:dyDescent="0.3">
      <c r="B186" t="s">
        <v>122</v>
      </c>
      <c r="C186" s="252">
        <f t="shared" ref="C186:I186" si="66">E98/1000</f>
        <v>9.1777777777777789</v>
      </c>
      <c r="D186" s="252">
        <f t="shared" si="66"/>
        <v>10.115538147208333</v>
      </c>
      <c r="E186" s="252">
        <f t="shared" si="66"/>
        <v>10.631532254885894</v>
      </c>
      <c r="F186" s="252">
        <f t="shared" si="66"/>
        <v>11.173847247847387</v>
      </c>
      <c r="G186" s="252">
        <f t="shared" si="66"/>
        <v>11.743825755769826</v>
      </c>
      <c r="H186" s="252">
        <f t="shared" si="66"/>
        <v>12.342878895937316</v>
      </c>
      <c r="I186" s="252">
        <f t="shared" si="66"/>
        <v>12.97248976679731</v>
      </c>
    </row>
    <row r="187" spans="1:20" x14ac:dyDescent="0.3">
      <c r="B187" t="s">
        <v>622</v>
      </c>
      <c r="C187" s="252">
        <f t="shared" ref="C187:I187" si="67">C54/1000</f>
        <v>4.745277777777777</v>
      </c>
      <c r="D187" s="252">
        <f t="shared" si="67"/>
        <v>4.8978604486281112</v>
      </c>
      <c r="E187" s="252">
        <f t="shared" si="67"/>
        <v>5.2763442940954501</v>
      </c>
      <c r="F187" s="252">
        <f t="shared" si="67"/>
        <v>5.6838711724027817</v>
      </c>
      <c r="G187" s="252">
        <f t="shared" si="67"/>
        <v>6.123532783195091</v>
      </c>
      <c r="H187" s="252">
        <f t="shared" si="67"/>
        <v>6.5969833052837528</v>
      </c>
      <c r="I187" s="252">
        <f t="shared" si="67"/>
        <v>6.8390660553701181</v>
      </c>
    </row>
    <row r="188" spans="1:20" x14ac:dyDescent="0.3">
      <c r="B188" t="s">
        <v>623</v>
      </c>
      <c r="C188" s="252">
        <f>C192/1000</f>
        <v>1.2727777777777776</v>
      </c>
      <c r="D188" s="252">
        <f t="shared" ref="D188:I188" si="68">D192/1000</f>
        <v>1.2600499999999997</v>
      </c>
      <c r="E188" s="252">
        <f t="shared" si="68"/>
        <v>1.2474494999999997</v>
      </c>
      <c r="F188" s="252">
        <f t="shared" si="68"/>
        <v>1.2349750049999997</v>
      </c>
      <c r="G188" s="252">
        <f t="shared" si="68"/>
        <v>1.2226252549499999</v>
      </c>
      <c r="H188" s="252">
        <f t="shared" si="68"/>
        <v>1.2103990024004998</v>
      </c>
      <c r="I188" s="252">
        <f t="shared" si="68"/>
        <v>1.1982950123764946</v>
      </c>
      <c r="J188" s="262"/>
    </row>
    <row r="189" spans="1:20" x14ac:dyDescent="0.3">
      <c r="B189" s="244" t="s">
        <v>624</v>
      </c>
      <c r="C189" s="384">
        <f>SUM(C184:C188)</f>
        <v>15.195833333333335</v>
      </c>
      <c r="D189" s="384">
        <f t="shared" ref="D189:I189" si="69">SUM(D184:D188)</f>
        <v>16.273448592231279</v>
      </c>
      <c r="E189" s="384">
        <f t="shared" si="69"/>
        <v>17.155325848801066</v>
      </c>
      <c r="F189" s="384">
        <f t="shared" si="69"/>
        <v>18.092693046478633</v>
      </c>
      <c r="G189" s="384">
        <f t="shared" si="69"/>
        <v>19.08998320058441</v>
      </c>
      <c r="H189" s="384">
        <f t="shared" si="69"/>
        <v>20.150260491645994</v>
      </c>
      <c r="I189" s="384">
        <f t="shared" si="69"/>
        <v>21.009849955966327</v>
      </c>
    </row>
    <row r="191" spans="1:20" x14ac:dyDescent="0.3">
      <c r="C191" s="246"/>
    </row>
    <row r="192" spans="1:20" x14ac:dyDescent="0.3">
      <c r="B192" t="s">
        <v>625</v>
      </c>
      <c r="C192" s="246">
        <f>'Macroeconomy (GWh)'!M125</f>
        <v>1272.7777777777776</v>
      </c>
      <c r="D192" s="246">
        <f>C192*0.99</f>
        <v>1260.0499999999997</v>
      </c>
      <c r="E192" s="246">
        <f>D192*0.99</f>
        <v>1247.4494999999997</v>
      </c>
      <c r="F192" s="246">
        <f>E192*0.99</f>
        <v>1234.9750049999998</v>
      </c>
      <c r="G192" s="246">
        <f t="shared" ref="G192:I192" si="70">F192*0.99</f>
        <v>1222.6252549499998</v>
      </c>
      <c r="H192" s="246">
        <f t="shared" si="70"/>
        <v>1210.3990024004997</v>
      </c>
      <c r="I192" s="246">
        <f t="shared" si="70"/>
        <v>1198.2950123764947</v>
      </c>
    </row>
    <row r="196" spans="9:10" ht="15.6" x14ac:dyDescent="0.3">
      <c r="I196" s="383"/>
      <c r="J196" s="383"/>
    </row>
    <row r="210" spans="2:8" ht="15.6" x14ac:dyDescent="0.3">
      <c r="B210" s="374" t="s">
        <v>626</v>
      </c>
      <c r="H210" s="374" t="s">
        <v>627</v>
      </c>
    </row>
    <row r="213" spans="2:8" x14ac:dyDescent="0.3">
      <c r="C213" s="256">
        <v>2020</v>
      </c>
      <c r="D213" s="256">
        <v>2030</v>
      </c>
      <c r="E213" s="256">
        <v>2040</v>
      </c>
      <c r="F213" s="256">
        <v>2050</v>
      </c>
      <c r="H213" s="256"/>
    </row>
    <row r="214" spans="2:8" x14ac:dyDescent="0.3">
      <c r="B214" t="s">
        <v>620</v>
      </c>
      <c r="C214" s="313">
        <f>C184/C$189</f>
        <v>0</v>
      </c>
      <c r="D214" s="313">
        <f>E184/E$189</f>
        <v>-1.1668695772649416E-8</v>
      </c>
      <c r="E214" s="313">
        <f>G184/G$189</f>
        <v>-3.1080724380537205E-8</v>
      </c>
      <c r="F214" s="313">
        <f>I184/I$189</f>
        <v>-4.1817413995984107E-8</v>
      </c>
      <c r="H214" s="313"/>
    </row>
    <row r="215" spans="2:8" x14ac:dyDescent="0.3">
      <c r="B215" t="s">
        <v>621</v>
      </c>
      <c r="C215" s="313">
        <f>C185/C$189</f>
        <v>0</v>
      </c>
      <c r="D215" s="313">
        <f>E185/E$189</f>
        <v>0</v>
      </c>
      <c r="E215" s="313">
        <f>G185/G$189</f>
        <v>0</v>
      </c>
      <c r="F215" s="313">
        <f>I185/I$189</f>
        <v>0</v>
      </c>
      <c r="H215" s="313"/>
    </row>
    <row r="216" spans="2:8" x14ac:dyDescent="0.3">
      <c r="B216" t="s">
        <v>122</v>
      </c>
      <c r="C216" s="313">
        <f>C186/C$189</f>
        <v>0.60396673064619322</v>
      </c>
      <c r="D216" s="313">
        <f>E186/E$189</f>
        <v>0.61972196556260106</v>
      </c>
      <c r="E216" s="313">
        <f>G186/G$189</f>
        <v>0.61518261343521286</v>
      </c>
      <c r="F216" s="313">
        <f>I186/I$189</f>
        <v>0.61744799672467021</v>
      </c>
      <c r="H216" s="313"/>
    </row>
    <row r="217" spans="2:8" x14ac:dyDescent="0.3">
      <c r="B217" t="s">
        <v>622</v>
      </c>
      <c r="C217" s="313">
        <f>C187/C$189</f>
        <v>0.31227492916552407</v>
      </c>
      <c r="D217" s="313">
        <f>E187/E$189</f>
        <v>0.30756304721919331</v>
      </c>
      <c r="E217" s="313">
        <f>G187/G$189</f>
        <v>0.32077203624818429</v>
      </c>
      <c r="F217" s="313">
        <f>I187/I$189</f>
        <v>0.32551712980834385</v>
      </c>
      <c r="H217" s="313"/>
    </row>
    <row r="218" spans="2:8" x14ac:dyDescent="0.3">
      <c r="B218" t="s">
        <v>623</v>
      </c>
      <c r="C218" s="313">
        <f>C188/C$189</f>
        <v>8.3758340188282585E-2</v>
      </c>
      <c r="D218" s="313">
        <f>E188/E$189</f>
        <v>7.2714998886901361E-2</v>
      </c>
      <c r="E218" s="313">
        <f>G188/G$189</f>
        <v>6.4045381397327322E-2</v>
      </c>
      <c r="F218" s="313">
        <f>I188/I$189</f>
        <v>5.7034915284400002E-2</v>
      </c>
      <c r="H218" s="313"/>
    </row>
    <row r="219" spans="2:8" x14ac:dyDescent="0.3">
      <c r="B219" s="244" t="s">
        <v>624</v>
      </c>
      <c r="C219" s="386">
        <f>SUM(C214:C218)</f>
        <v>0.99999999999999989</v>
      </c>
      <c r="D219" s="386">
        <f>SUM(D214:D218)</f>
        <v>1</v>
      </c>
      <c r="E219" s="386">
        <f>SUM(E214:E218)</f>
        <v>1.0000000000000002</v>
      </c>
      <c r="F219" s="386">
        <f t="shared" ref="F219" si="71">SUM(F214:F218)</f>
        <v>1.0000000000000002</v>
      </c>
      <c r="H219" s="386"/>
    </row>
  </sheetData>
  <mergeCells count="7">
    <mergeCell ref="U145:U146"/>
    <mergeCell ref="B129:J129"/>
    <mergeCell ref="B136:J136"/>
    <mergeCell ref="B143:I143"/>
    <mergeCell ref="U139:U140"/>
    <mergeCell ref="U141:U142"/>
    <mergeCell ref="U143:U144"/>
  </mergeCells>
  <phoneticPr fontId="74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113C7-C3A2-4093-A6DD-1F7DB0E6B14F}">
  <sheetPr>
    <tabColor theme="5" tint="-0.249977111117893"/>
  </sheetPr>
  <dimension ref="A2:P513"/>
  <sheetViews>
    <sheetView tabSelected="1" zoomScale="93" zoomScaleNormal="9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92" sqref="F192"/>
    </sheetView>
  </sheetViews>
  <sheetFormatPr defaultRowHeight="14.4" x14ac:dyDescent="0.3"/>
  <cols>
    <col min="1" max="1" width="60.88671875" customWidth="1"/>
    <col min="2" max="2" width="14.109375" customWidth="1"/>
    <col min="3" max="3" width="11.5546875" customWidth="1"/>
    <col min="4" max="14" width="9.6640625" bestFit="1" customWidth="1"/>
    <col min="16" max="16" width="35.6640625" customWidth="1"/>
  </cols>
  <sheetData>
    <row r="2" spans="1:16" x14ac:dyDescent="0.3">
      <c r="A2" s="1" t="s">
        <v>55</v>
      </c>
      <c r="B2" s="49"/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>
        <v>2019</v>
      </c>
      <c r="M2" s="5">
        <v>2020</v>
      </c>
      <c r="N2" s="5">
        <v>2021</v>
      </c>
      <c r="O2" s="1" t="s">
        <v>57</v>
      </c>
      <c r="P2" s="214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3">
      <c r="A4" s="49"/>
      <c r="B4" s="4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/>
      <c r="P4" s="51"/>
    </row>
    <row r="5" spans="1:16" ht="18" x14ac:dyDescent="0.35">
      <c r="A5" s="48" t="s">
        <v>228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3">
      <c r="A6" s="49"/>
      <c r="B6" s="4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1"/>
      <c r="P6" s="51"/>
    </row>
    <row r="7" spans="1:16" ht="15.6" x14ac:dyDescent="0.3">
      <c r="A7" s="8" t="s">
        <v>229</v>
      </c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4"/>
      <c r="P7" s="54"/>
    </row>
    <row r="8" spans="1:16" ht="15.6" x14ac:dyDescent="0.3">
      <c r="A8" s="8"/>
      <c r="B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3">
      <c r="A9" s="49" t="s">
        <v>230</v>
      </c>
      <c r="B9" s="22" t="s">
        <v>63</v>
      </c>
      <c r="C9" s="17">
        <v>269.15899999999999</v>
      </c>
      <c r="D9" s="17">
        <v>287.10180000000003</v>
      </c>
      <c r="E9" s="17">
        <v>309.38780000000003</v>
      </c>
      <c r="F9" s="17">
        <v>335.0917</v>
      </c>
      <c r="G9" s="17">
        <v>397.45519999999999</v>
      </c>
      <c r="H9" s="17">
        <v>380.22430000000003</v>
      </c>
      <c r="I9" s="17">
        <v>386.01870000000002</v>
      </c>
      <c r="J9" s="17">
        <v>397.37720000000002</v>
      </c>
      <c r="K9" s="17">
        <v>429.5</v>
      </c>
      <c r="L9" s="17">
        <v>453.2</v>
      </c>
      <c r="M9" s="17">
        <v>459.6</v>
      </c>
      <c r="N9" s="17">
        <v>493.6</v>
      </c>
      <c r="O9" s="18" t="s">
        <v>8</v>
      </c>
      <c r="P9" s="58" t="s">
        <v>231</v>
      </c>
    </row>
    <row r="10" spans="1:16" x14ac:dyDescent="0.3">
      <c r="A10" s="49" t="s">
        <v>232</v>
      </c>
      <c r="B10" s="22" t="s">
        <v>63</v>
      </c>
      <c r="C10" s="17">
        <v>134.52549999999999</v>
      </c>
      <c r="D10" s="17">
        <v>145.03550000000001</v>
      </c>
      <c r="E10" s="17">
        <v>157</v>
      </c>
      <c r="F10" s="17">
        <v>154.50190000000001</v>
      </c>
      <c r="G10" s="17">
        <v>169.67930000000001</v>
      </c>
      <c r="H10" s="17">
        <v>172.76130000000001</v>
      </c>
      <c r="I10" s="17">
        <v>179.988</v>
      </c>
      <c r="J10" s="17">
        <v>191.72980000000001</v>
      </c>
      <c r="K10" s="17">
        <v>188.5</v>
      </c>
      <c r="L10" s="17">
        <v>188.5</v>
      </c>
      <c r="M10" s="17">
        <v>180.8</v>
      </c>
      <c r="N10" s="17">
        <v>177.4</v>
      </c>
      <c r="O10" s="18" t="s">
        <v>8</v>
      </c>
      <c r="P10" s="58" t="s">
        <v>231</v>
      </c>
    </row>
    <row r="11" spans="1:16" x14ac:dyDescent="0.3">
      <c r="A11" s="49" t="s">
        <v>233</v>
      </c>
      <c r="B11" s="22" t="s">
        <v>63</v>
      </c>
      <c r="C11" s="17">
        <v>285.92959999999999</v>
      </c>
      <c r="D11" s="17">
        <v>332.3337366812799</v>
      </c>
      <c r="E11" s="17">
        <v>350.58962206572363</v>
      </c>
      <c r="F11" s="17">
        <v>378.653749205125</v>
      </c>
      <c r="G11" s="17">
        <v>442.62186105365629</v>
      </c>
      <c r="H11" s="17">
        <v>481.22067505870598</v>
      </c>
      <c r="I11" s="17">
        <v>493.5</v>
      </c>
      <c r="J11" s="17">
        <v>542.29999999999995</v>
      </c>
      <c r="K11" s="17">
        <v>566.6</v>
      </c>
      <c r="L11" s="17">
        <v>579.70000000000005</v>
      </c>
      <c r="M11" s="17">
        <v>615.6</v>
      </c>
      <c r="N11" s="17">
        <v>788.2</v>
      </c>
      <c r="O11" s="18" t="s">
        <v>8</v>
      </c>
      <c r="P11" s="58" t="s">
        <v>231</v>
      </c>
    </row>
    <row r="12" spans="1:16" x14ac:dyDescent="0.3">
      <c r="A12" s="49" t="s">
        <v>234</v>
      </c>
      <c r="B12" s="22" t="s">
        <v>63</v>
      </c>
      <c r="C12" s="17">
        <v>123.52940000000001</v>
      </c>
      <c r="D12" s="17">
        <v>124.19800000000001</v>
      </c>
      <c r="E12" s="17">
        <v>128</v>
      </c>
      <c r="F12" s="17">
        <v>127</v>
      </c>
      <c r="G12" s="17">
        <v>130.249</v>
      </c>
      <c r="H12" s="17">
        <v>133.75378118619403</v>
      </c>
      <c r="I12" s="17">
        <v>140</v>
      </c>
      <c r="J12" s="17">
        <v>156.80000000000001</v>
      </c>
      <c r="K12" s="17">
        <v>159.30000000000001</v>
      </c>
      <c r="L12" s="17">
        <v>145.69999999999999</v>
      </c>
      <c r="M12" s="17">
        <v>129.19999999999999</v>
      </c>
      <c r="N12" s="17">
        <v>144.9</v>
      </c>
      <c r="O12" s="18" t="s">
        <v>8</v>
      </c>
      <c r="P12" s="58" t="s">
        <v>231</v>
      </c>
    </row>
    <row r="13" spans="1:16" x14ac:dyDescent="0.3">
      <c r="A13" s="62" t="s">
        <v>235</v>
      </c>
      <c r="B13" s="22" t="s">
        <v>63</v>
      </c>
      <c r="C13" s="61">
        <v>58.563599311359411</v>
      </c>
      <c r="D13" s="61">
        <v>56.159799999999997</v>
      </c>
      <c r="E13" s="61">
        <v>51.846899999999998</v>
      </c>
      <c r="F13" s="61">
        <v>50.133400000000002</v>
      </c>
      <c r="G13" s="61">
        <v>52.782600000000002</v>
      </c>
      <c r="H13" s="61">
        <v>56.528296203496801</v>
      </c>
      <c r="I13" s="61">
        <v>57.5</v>
      </c>
      <c r="J13" s="61">
        <v>69.5</v>
      </c>
      <c r="K13" s="61">
        <v>76.2</v>
      </c>
      <c r="L13" s="61">
        <v>62.4</v>
      </c>
      <c r="M13" s="61">
        <v>54.8</v>
      </c>
      <c r="N13" s="61">
        <v>66.900000000000006</v>
      </c>
      <c r="O13" s="18" t="s">
        <v>8</v>
      </c>
      <c r="P13" s="59" t="s">
        <v>231</v>
      </c>
    </row>
    <row r="14" spans="1:16" x14ac:dyDescent="0.3">
      <c r="A14" s="49" t="s">
        <v>236</v>
      </c>
      <c r="B14" s="22" t="s">
        <v>63</v>
      </c>
      <c r="C14" s="17">
        <v>74.570800000000006</v>
      </c>
      <c r="D14" s="17">
        <v>135.1532</v>
      </c>
      <c r="E14" s="17">
        <v>172.32499999999999</v>
      </c>
      <c r="F14" s="17">
        <v>124.55329999999999</v>
      </c>
      <c r="G14" s="17">
        <v>127.3051</v>
      </c>
      <c r="H14" s="17">
        <v>90.664699999999996</v>
      </c>
      <c r="I14" s="17">
        <v>68.136200000000002</v>
      </c>
      <c r="J14" s="17">
        <v>65.074799999999996</v>
      </c>
      <c r="K14" s="17">
        <v>83.6</v>
      </c>
      <c r="L14" s="17">
        <v>104.8</v>
      </c>
      <c r="M14" s="17">
        <v>83.3</v>
      </c>
      <c r="N14" s="17">
        <v>104.6</v>
      </c>
      <c r="O14" s="18" t="s">
        <v>8</v>
      </c>
      <c r="P14" s="58" t="s">
        <v>231</v>
      </c>
    </row>
    <row r="15" spans="1:16" x14ac:dyDescent="0.3">
      <c r="A15" s="49" t="s">
        <v>237</v>
      </c>
      <c r="B15" s="22" t="s">
        <v>63</v>
      </c>
      <c r="C15" s="17">
        <v>104.1</v>
      </c>
      <c r="D15" s="17">
        <v>128.9</v>
      </c>
      <c r="E15" s="17">
        <v>88.399999999999991</v>
      </c>
      <c r="F15" s="17">
        <v>98.7</v>
      </c>
      <c r="G15" s="17">
        <v>106</v>
      </c>
      <c r="H15" s="17">
        <v>117.1</v>
      </c>
      <c r="I15" s="17">
        <v>131.20000000000002</v>
      </c>
      <c r="J15" s="17">
        <v>122.7</v>
      </c>
      <c r="K15" s="17">
        <v>136.6</v>
      </c>
      <c r="L15" s="17">
        <v>128.30000000000001</v>
      </c>
      <c r="M15" s="17">
        <v>138</v>
      </c>
      <c r="N15" s="17">
        <v>158.1</v>
      </c>
      <c r="O15" s="18" t="s">
        <v>8</v>
      </c>
      <c r="P15" s="58" t="s">
        <v>231</v>
      </c>
    </row>
    <row r="16" spans="1:16" x14ac:dyDescent="0.3">
      <c r="A16" s="49" t="s">
        <v>238</v>
      </c>
      <c r="B16" s="22" t="s">
        <v>63</v>
      </c>
      <c r="C16" s="17">
        <v>96.8</v>
      </c>
      <c r="D16" s="17">
        <v>119.3</v>
      </c>
      <c r="E16" s="17">
        <v>120.2</v>
      </c>
      <c r="F16" s="17">
        <v>124.8</v>
      </c>
      <c r="G16" s="17">
        <v>132.5</v>
      </c>
      <c r="H16" s="17">
        <v>141</v>
      </c>
      <c r="I16" s="17">
        <v>162.1</v>
      </c>
      <c r="J16" s="17">
        <v>188.6</v>
      </c>
      <c r="K16" s="17">
        <v>182.3</v>
      </c>
      <c r="L16" s="17">
        <v>183.3</v>
      </c>
      <c r="M16" s="17">
        <v>170.7</v>
      </c>
      <c r="N16" s="17">
        <v>185.4</v>
      </c>
      <c r="O16" s="18" t="s">
        <v>8</v>
      </c>
      <c r="P16" s="58" t="s">
        <v>231</v>
      </c>
    </row>
    <row r="17" spans="1:16" x14ac:dyDescent="0.3">
      <c r="A17" s="49" t="s">
        <v>239</v>
      </c>
      <c r="B17" s="22" t="s">
        <v>63</v>
      </c>
      <c r="C17" s="17">
        <v>9.1999999999999993</v>
      </c>
      <c r="D17" s="17">
        <v>9.9</v>
      </c>
      <c r="E17" s="17">
        <v>7.8</v>
      </c>
      <c r="F17" s="17">
        <v>8.6</v>
      </c>
      <c r="G17" s="17">
        <v>10.8</v>
      </c>
      <c r="H17" s="17">
        <v>12</v>
      </c>
      <c r="I17" s="17">
        <v>16.399999999999999</v>
      </c>
      <c r="J17" s="17">
        <v>29.1</v>
      </c>
      <c r="K17" s="17">
        <v>31.8</v>
      </c>
      <c r="L17" s="17">
        <v>33</v>
      </c>
      <c r="M17" s="17">
        <v>32.9</v>
      </c>
      <c r="N17" s="17">
        <v>39.4</v>
      </c>
      <c r="O17" s="18" t="s">
        <v>8</v>
      </c>
      <c r="P17" s="58" t="s">
        <v>231</v>
      </c>
    </row>
    <row r="18" spans="1:16" x14ac:dyDescent="0.3">
      <c r="A18" s="49" t="s">
        <v>240</v>
      </c>
      <c r="B18" s="22" t="s">
        <v>63</v>
      </c>
      <c r="C18" s="17">
        <v>530.6</v>
      </c>
      <c r="D18" s="17">
        <v>705.00000000000011</v>
      </c>
      <c r="E18" s="17">
        <v>693.3</v>
      </c>
      <c r="F18" s="17">
        <v>741.6</v>
      </c>
      <c r="G18" s="17">
        <v>790.5</v>
      </c>
      <c r="H18" s="17">
        <v>778</v>
      </c>
      <c r="I18" s="17">
        <v>859.6</v>
      </c>
      <c r="J18" s="17">
        <v>927.4</v>
      </c>
      <c r="K18" s="17">
        <v>992.6</v>
      </c>
      <c r="L18" s="17">
        <v>1043.0999999999999</v>
      </c>
      <c r="M18" s="17">
        <v>1001.9000000000001</v>
      </c>
      <c r="N18" s="17">
        <v>1126.8</v>
      </c>
      <c r="O18" s="18" t="s">
        <v>8</v>
      </c>
      <c r="P18" s="58" t="s">
        <v>231</v>
      </c>
    </row>
    <row r="19" spans="1:16" x14ac:dyDescent="0.3">
      <c r="A19" s="62" t="s">
        <v>241</v>
      </c>
      <c r="B19" s="22" t="s">
        <v>63</v>
      </c>
      <c r="C19" s="61">
        <v>231.8142</v>
      </c>
      <c r="D19" s="61">
        <v>272.00319999999999</v>
      </c>
      <c r="E19" s="61">
        <v>290.84550000000002</v>
      </c>
      <c r="F19" s="61">
        <v>309.4769</v>
      </c>
      <c r="G19" s="61">
        <v>331.60610000000003</v>
      </c>
      <c r="H19" s="61">
        <v>334.5</v>
      </c>
      <c r="I19" s="61">
        <v>365.6</v>
      </c>
      <c r="J19" s="61">
        <v>393.8</v>
      </c>
      <c r="K19" s="61">
        <v>407.6</v>
      </c>
      <c r="L19" s="61">
        <v>448.5</v>
      </c>
      <c r="M19" s="61">
        <v>429.9</v>
      </c>
      <c r="N19" s="61">
        <v>512.70000000000005</v>
      </c>
      <c r="O19" s="18" t="s">
        <v>8</v>
      </c>
      <c r="P19" s="59" t="s">
        <v>231</v>
      </c>
    </row>
    <row r="20" spans="1:16" x14ac:dyDescent="0.3">
      <c r="A20" s="49" t="s">
        <v>242</v>
      </c>
      <c r="B20" s="22" t="s">
        <v>63</v>
      </c>
      <c r="C20" s="61">
        <v>102.89999999999999</v>
      </c>
      <c r="D20" s="61">
        <v>108.80000000000001</v>
      </c>
      <c r="E20" s="61">
        <v>108.5</v>
      </c>
      <c r="F20" s="61">
        <v>111.80000000000001</v>
      </c>
      <c r="G20" s="61">
        <v>112</v>
      </c>
      <c r="H20" s="61">
        <v>122.2</v>
      </c>
      <c r="I20" s="61">
        <v>123.5</v>
      </c>
      <c r="J20" s="61">
        <v>116.5</v>
      </c>
      <c r="K20" s="61">
        <v>134</v>
      </c>
      <c r="L20" s="61">
        <v>120.69999999999999</v>
      </c>
      <c r="M20" s="61">
        <v>126.10000000000001</v>
      </c>
      <c r="N20" s="61">
        <v>133</v>
      </c>
      <c r="O20" s="18" t="s">
        <v>8</v>
      </c>
      <c r="P20" s="58" t="s">
        <v>231</v>
      </c>
    </row>
    <row r="21" spans="1:16" x14ac:dyDescent="0.3">
      <c r="A21" s="49" t="s">
        <v>243</v>
      </c>
      <c r="B21" s="22" t="s">
        <v>63</v>
      </c>
      <c r="C21" s="17">
        <v>231.4</v>
      </c>
      <c r="D21" s="17">
        <v>261.20000000000005</v>
      </c>
      <c r="E21" s="17">
        <v>280.79999999999995</v>
      </c>
      <c r="F21" s="17">
        <v>291.19999999999993</v>
      </c>
      <c r="G21" s="17">
        <v>311.10000000000002</v>
      </c>
      <c r="H21" s="17">
        <v>320</v>
      </c>
      <c r="I21" s="17">
        <v>349.5</v>
      </c>
      <c r="J21" s="17">
        <v>374.2</v>
      </c>
      <c r="K21" s="17">
        <v>400.6</v>
      </c>
      <c r="L21" s="17">
        <v>423.1</v>
      </c>
      <c r="M21" s="17">
        <v>422.5</v>
      </c>
      <c r="N21" s="17">
        <v>485</v>
      </c>
      <c r="O21" s="18" t="s">
        <v>8</v>
      </c>
      <c r="P21" s="58" t="s">
        <v>231</v>
      </c>
    </row>
    <row r="22" spans="1:16" x14ac:dyDescent="0.3">
      <c r="A22" s="62" t="s">
        <v>244</v>
      </c>
      <c r="B22" s="22" t="s">
        <v>63</v>
      </c>
      <c r="C22" s="61">
        <v>70.124136410115085</v>
      </c>
      <c r="D22" s="61">
        <v>88.669654476862888</v>
      </c>
      <c r="E22" s="61">
        <v>94.130282068511036</v>
      </c>
      <c r="F22" s="61">
        <v>95.567060527824893</v>
      </c>
      <c r="G22" s="61">
        <v>101.96221760857823</v>
      </c>
      <c r="H22" s="61">
        <v>98.908652594909881</v>
      </c>
      <c r="I22" s="61">
        <v>109.1</v>
      </c>
      <c r="J22" s="61">
        <v>120.4</v>
      </c>
      <c r="K22" s="61">
        <v>134</v>
      </c>
      <c r="L22" s="61">
        <v>141.4</v>
      </c>
      <c r="M22" s="61">
        <v>141</v>
      </c>
      <c r="N22" s="61">
        <v>162.6</v>
      </c>
      <c r="O22" s="18" t="s">
        <v>8</v>
      </c>
      <c r="P22" s="59" t="s">
        <v>231</v>
      </c>
    </row>
    <row r="23" spans="1:16" x14ac:dyDescent="0.3">
      <c r="A23" s="50" t="s">
        <v>245</v>
      </c>
      <c r="B23" s="22" t="s">
        <v>63</v>
      </c>
      <c r="C23" s="32">
        <v>1963.8000000000002</v>
      </c>
      <c r="D23" s="32">
        <v>2357.4</v>
      </c>
      <c r="E23" s="32">
        <v>2416.6999999999998</v>
      </c>
      <c r="F23" s="32">
        <v>2496.4</v>
      </c>
      <c r="G23" s="32">
        <v>2730.6</v>
      </c>
      <c r="H23" s="32">
        <v>2748.8999999999996</v>
      </c>
      <c r="I23" s="32">
        <v>2909.9</v>
      </c>
      <c r="J23" s="32">
        <v>3111.7999999999993</v>
      </c>
      <c r="K23" s="32">
        <v>3305.3999999999996</v>
      </c>
      <c r="L23" s="32">
        <v>3403.3999999999996</v>
      </c>
      <c r="M23" s="32">
        <v>3360.6</v>
      </c>
      <c r="N23" s="32">
        <v>3836.4000000000005</v>
      </c>
      <c r="O23" s="56" t="s">
        <v>8</v>
      </c>
      <c r="P23" s="60" t="s">
        <v>231</v>
      </c>
    </row>
    <row r="24" spans="1:16" x14ac:dyDescent="0.3">
      <c r="A24" s="24" t="s">
        <v>246</v>
      </c>
      <c r="B24" s="25" t="s">
        <v>103</v>
      </c>
      <c r="C24" s="87">
        <f>IFERROR((C9+C10+C11+C12+C14+C15+C16+C17+C18+C20+C21)/C23,"")</f>
        <v>0.99944714329361439</v>
      </c>
      <c r="D24" s="87">
        <f>IFERROR((D9+D10+D11+D12+D14+D15+D16+D17+D18+D20+D21)/D23,"")</f>
        <v>0.99979733464040044</v>
      </c>
      <c r="E24" s="87">
        <f t="shared" ref="E24:N24" si="0">IFERROR((E9+E10+E11+E12+E14+E15+E16+E17+E18+E20+E21)/E23,"")</f>
        <v>0.99983548726185445</v>
      </c>
      <c r="F24" s="87">
        <f t="shared" si="0"/>
        <v>1.0000403177395949</v>
      </c>
      <c r="G24" s="87">
        <f t="shared" si="0"/>
        <v>0.99985734309443208</v>
      </c>
      <c r="H24" s="87">
        <f t="shared" si="0"/>
        <v>1.0000090058732221</v>
      </c>
      <c r="I24" s="87">
        <f t="shared" si="0"/>
        <v>1.0000147427746657</v>
      </c>
      <c r="J24" s="87">
        <f t="shared" si="0"/>
        <v>0.99999415129507052</v>
      </c>
      <c r="K24" s="87">
        <f t="shared" si="0"/>
        <v>1</v>
      </c>
      <c r="L24" s="87">
        <f t="shared" si="0"/>
        <v>1</v>
      </c>
      <c r="M24" s="87">
        <f t="shared" si="0"/>
        <v>1</v>
      </c>
      <c r="N24" s="87">
        <f t="shared" si="0"/>
        <v>0.99999999999999978</v>
      </c>
      <c r="O24" s="49"/>
      <c r="P24" s="49"/>
    </row>
    <row r="25" spans="1:16" ht="15.6" x14ac:dyDescent="0.3">
      <c r="A25" s="8" t="s">
        <v>247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.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58" t="s">
        <v>248</v>
      </c>
      <c r="B27" s="22" t="s">
        <v>63</v>
      </c>
      <c r="C27" s="17">
        <v>179.41399999999999</v>
      </c>
      <c r="D27" s="17">
        <v>204.00710000000001</v>
      </c>
      <c r="E27" s="17">
        <v>203.46260000000001</v>
      </c>
      <c r="F27" s="17">
        <v>255.17310000000001</v>
      </c>
      <c r="G27" s="17">
        <v>270.6336</v>
      </c>
      <c r="H27" s="17">
        <v>247.92490000000001</v>
      </c>
      <c r="I27" s="17">
        <v>204.2063</v>
      </c>
      <c r="J27" s="17">
        <v>255.72319999999999</v>
      </c>
      <c r="K27" s="17">
        <v>244.6</v>
      </c>
      <c r="L27" s="17">
        <v>220.7</v>
      </c>
      <c r="M27" s="17">
        <v>184.2</v>
      </c>
      <c r="N27" s="17">
        <v>206.9</v>
      </c>
      <c r="O27" s="18" t="s">
        <v>8</v>
      </c>
      <c r="P27" s="60" t="s">
        <v>231</v>
      </c>
    </row>
    <row r="28" spans="1:16" x14ac:dyDescent="0.3">
      <c r="A28" s="58" t="s">
        <v>249</v>
      </c>
      <c r="B28" s="22" t="s">
        <v>63</v>
      </c>
      <c r="C28" s="17">
        <v>640.40570000000002</v>
      </c>
      <c r="D28" s="17">
        <v>640.66849999999999</v>
      </c>
      <c r="E28" s="17">
        <v>659.14509999999996</v>
      </c>
      <c r="F28" s="17">
        <v>777.72349999999994</v>
      </c>
      <c r="G28" s="17">
        <v>773.5204</v>
      </c>
      <c r="H28" s="17">
        <v>707.92650000000003</v>
      </c>
      <c r="I28" s="17">
        <v>776.06790000000001</v>
      </c>
      <c r="J28" s="17">
        <v>840.37509999999997</v>
      </c>
      <c r="K28" s="17">
        <v>930.1</v>
      </c>
      <c r="L28" s="17">
        <v>844.7</v>
      </c>
      <c r="M28" s="17">
        <v>895.50000000000011</v>
      </c>
      <c r="N28" s="17">
        <v>1213.6999999999998</v>
      </c>
      <c r="O28" s="18" t="s">
        <v>8</v>
      </c>
      <c r="P28" s="60" t="s">
        <v>231</v>
      </c>
    </row>
    <row r="29" spans="1:16" x14ac:dyDescent="0.3">
      <c r="A29" s="58" t="s">
        <v>250</v>
      </c>
      <c r="B29" s="22" t="s">
        <v>63</v>
      </c>
      <c r="C29" s="17">
        <v>750.44100000000003</v>
      </c>
      <c r="D29" s="17">
        <v>1008.7438</v>
      </c>
      <c r="E29" s="17">
        <v>1154.4078999999999</v>
      </c>
      <c r="F29" s="17">
        <v>1163.6015</v>
      </c>
      <c r="G29" s="17">
        <v>1079.0645</v>
      </c>
      <c r="H29" s="17">
        <v>1098.4851000000001</v>
      </c>
      <c r="I29" s="17">
        <v>1229.5404000000001</v>
      </c>
      <c r="J29" s="17">
        <v>1379.7158999999999</v>
      </c>
      <c r="K29" s="17">
        <v>1561.8</v>
      </c>
      <c r="L29" s="17">
        <v>1669.8</v>
      </c>
      <c r="M29" s="17">
        <v>1651.8</v>
      </c>
      <c r="N29" s="17">
        <v>1845.8</v>
      </c>
      <c r="O29" s="18" t="s">
        <v>8</v>
      </c>
      <c r="P29" s="60" t="s">
        <v>231</v>
      </c>
    </row>
    <row r="30" spans="1:16" x14ac:dyDescent="0.3">
      <c r="A30" s="49"/>
      <c r="B30" s="49"/>
      <c r="C30" s="52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3">
      <c r="A31" s="49"/>
      <c r="B31" s="49"/>
      <c r="C31" s="52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8" x14ac:dyDescent="0.35">
      <c r="A32" s="48" t="s">
        <v>251</v>
      </c>
      <c r="B32" s="4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3">
      <c r="A33" s="4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5.6" x14ac:dyDescent="0.3">
      <c r="A34" s="8" t="s">
        <v>229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5.6" x14ac:dyDescent="0.3">
      <c r="A35" s="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x14ac:dyDescent="0.3">
      <c r="A36" s="49" t="s">
        <v>230</v>
      </c>
      <c r="B36" s="22" t="s">
        <v>63</v>
      </c>
      <c r="C36" s="17">
        <v>351</v>
      </c>
      <c r="D36" s="17">
        <v>351.8</v>
      </c>
      <c r="E36" s="17">
        <v>344.4</v>
      </c>
      <c r="F36" s="17">
        <v>361.1</v>
      </c>
      <c r="G36" s="17">
        <v>388.6</v>
      </c>
      <c r="H36" s="17">
        <v>380.2</v>
      </c>
      <c r="I36" s="17">
        <v>383.9</v>
      </c>
      <c r="J36" s="17">
        <v>401.1</v>
      </c>
      <c r="K36" s="17">
        <v>410.2</v>
      </c>
      <c r="L36" s="17">
        <v>411.2</v>
      </c>
      <c r="M36" s="17">
        <v>390.8</v>
      </c>
      <c r="N36" s="17">
        <v>455</v>
      </c>
      <c r="O36" s="18" t="s">
        <v>8</v>
      </c>
      <c r="P36" s="58" t="s">
        <v>231</v>
      </c>
    </row>
    <row r="37" spans="1:16" x14ac:dyDescent="0.3">
      <c r="A37" s="49" t="s">
        <v>232</v>
      </c>
      <c r="B37" s="22" t="s">
        <v>63</v>
      </c>
      <c r="C37" s="17">
        <v>154</v>
      </c>
      <c r="D37" s="17">
        <v>162.69999999999999</v>
      </c>
      <c r="E37" s="17">
        <v>169.8</v>
      </c>
      <c r="F37" s="17">
        <v>161.9</v>
      </c>
      <c r="G37" s="17">
        <v>167</v>
      </c>
      <c r="H37" s="17">
        <v>172.8</v>
      </c>
      <c r="I37" s="17">
        <v>180.7</v>
      </c>
      <c r="J37" s="17">
        <v>190</v>
      </c>
      <c r="K37" s="17">
        <v>174.9</v>
      </c>
      <c r="L37" s="17">
        <v>164.5</v>
      </c>
      <c r="M37" s="17">
        <v>142.80000000000001</v>
      </c>
      <c r="N37" s="17">
        <v>148.30000000000001</v>
      </c>
      <c r="O37" s="18" t="s">
        <v>8</v>
      </c>
      <c r="P37" s="58" t="s">
        <v>231</v>
      </c>
    </row>
    <row r="38" spans="1:16" x14ac:dyDescent="0.3">
      <c r="A38" s="49" t="s">
        <v>233</v>
      </c>
      <c r="B38" s="22" t="s">
        <v>63</v>
      </c>
      <c r="C38" s="17">
        <v>318.10000000000002</v>
      </c>
      <c r="D38" s="17">
        <v>368.6</v>
      </c>
      <c r="E38" s="17">
        <v>370.8</v>
      </c>
      <c r="F38" s="17">
        <v>382.8</v>
      </c>
      <c r="G38" s="17">
        <v>438.6</v>
      </c>
      <c r="H38" s="17">
        <v>481.2</v>
      </c>
      <c r="I38" s="17">
        <v>495.6</v>
      </c>
      <c r="J38" s="17">
        <v>527.4</v>
      </c>
      <c r="K38" s="17">
        <v>552.29999999999995</v>
      </c>
      <c r="L38" s="17">
        <v>566.9</v>
      </c>
      <c r="M38" s="17">
        <v>513.1</v>
      </c>
      <c r="N38" s="17">
        <v>521.6</v>
      </c>
      <c r="O38" s="18" t="s">
        <v>8</v>
      </c>
      <c r="P38" s="58" t="s">
        <v>231</v>
      </c>
    </row>
    <row r="39" spans="1:16" x14ac:dyDescent="0.3">
      <c r="A39" s="49" t="s">
        <v>234</v>
      </c>
      <c r="B39" s="22" t="s">
        <v>63</v>
      </c>
      <c r="C39" s="17">
        <v>123.9</v>
      </c>
      <c r="D39" s="17">
        <v>122</v>
      </c>
      <c r="E39" s="17">
        <v>135.6</v>
      </c>
      <c r="F39" s="17">
        <v>135.4</v>
      </c>
      <c r="G39" s="17">
        <v>136.19999999999999</v>
      </c>
      <c r="H39" s="17">
        <v>133.69999999999999</v>
      </c>
      <c r="I39" s="17">
        <v>142.30000000000001</v>
      </c>
      <c r="J39" s="17">
        <v>148</v>
      </c>
      <c r="K39" s="17">
        <v>142.6</v>
      </c>
      <c r="L39" s="17">
        <v>138.6</v>
      </c>
      <c r="M39" s="17">
        <v>138</v>
      </c>
      <c r="N39" s="17">
        <v>144.80000000000001</v>
      </c>
      <c r="O39" s="18" t="s">
        <v>8</v>
      </c>
      <c r="P39" s="58" t="s">
        <v>231</v>
      </c>
    </row>
    <row r="40" spans="1:16" x14ac:dyDescent="0.3">
      <c r="A40" s="64" t="s">
        <v>235</v>
      </c>
      <c r="B40" s="22" t="s">
        <v>63</v>
      </c>
      <c r="C40" s="17">
        <v>60.2</v>
      </c>
      <c r="D40" s="17">
        <v>54.8</v>
      </c>
      <c r="E40" s="17">
        <v>56</v>
      </c>
      <c r="F40" s="17">
        <v>58.2</v>
      </c>
      <c r="G40" s="17">
        <v>60.1</v>
      </c>
      <c r="H40" s="17">
        <v>56.5</v>
      </c>
      <c r="I40" s="17">
        <v>58.2</v>
      </c>
      <c r="J40" s="17">
        <v>60.7</v>
      </c>
      <c r="K40" s="17">
        <v>55.5</v>
      </c>
      <c r="L40" s="17">
        <v>50.8</v>
      </c>
      <c r="M40" s="17">
        <v>57.2</v>
      </c>
      <c r="N40" s="17">
        <v>56.4</v>
      </c>
      <c r="O40" s="18" t="s">
        <v>8</v>
      </c>
      <c r="P40" s="59" t="s">
        <v>231</v>
      </c>
    </row>
    <row r="41" spans="1:16" x14ac:dyDescent="0.3">
      <c r="A41" s="49" t="s">
        <v>236</v>
      </c>
      <c r="B41" s="22" t="s">
        <v>63</v>
      </c>
      <c r="C41" s="17">
        <v>62.1</v>
      </c>
      <c r="D41" s="17">
        <v>67.099999999999994</v>
      </c>
      <c r="E41" s="17">
        <v>72.099999999999994</v>
      </c>
      <c r="F41" s="17">
        <v>76.400000000000006</v>
      </c>
      <c r="G41" s="17">
        <v>84.3</v>
      </c>
      <c r="H41" s="17">
        <v>90.7</v>
      </c>
      <c r="I41" s="17">
        <v>78.8</v>
      </c>
      <c r="J41" s="17">
        <v>34.799999999999997</v>
      </c>
      <c r="K41" s="17">
        <v>33.1</v>
      </c>
      <c r="L41" s="17">
        <v>43.6</v>
      </c>
      <c r="M41" s="17">
        <v>44.5</v>
      </c>
      <c r="N41" s="17">
        <v>34.799999999999997</v>
      </c>
      <c r="O41" s="18" t="s">
        <v>8</v>
      </c>
      <c r="P41" s="58" t="s">
        <v>231</v>
      </c>
    </row>
    <row r="42" spans="1:16" x14ac:dyDescent="0.3">
      <c r="A42" s="49" t="s">
        <v>237</v>
      </c>
      <c r="B42" s="22" t="s">
        <v>63</v>
      </c>
      <c r="C42" s="17">
        <v>140.80000000000001</v>
      </c>
      <c r="D42" s="17">
        <v>142.80000000000001</v>
      </c>
      <c r="E42" s="17">
        <v>108.19999999999999</v>
      </c>
      <c r="F42" s="17">
        <v>118.2</v>
      </c>
      <c r="G42" s="17">
        <v>115.6</v>
      </c>
      <c r="H42" s="17">
        <v>117.1</v>
      </c>
      <c r="I42" s="17">
        <v>124.3</v>
      </c>
      <c r="J42" s="17">
        <v>121.80000000000001</v>
      </c>
      <c r="K42" s="17">
        <v>136</v>
      </c>
      <c r="L42" s="17">
        <v>113.3</v>
      </c>
      <c r="M42" s="17">
        <v>115.39999999999999</v>
      </c>
      <c r="N42" s="17">
        <v>127.7</v>
      </c>
      <c r="O42" s="18" t="s">
        <v>8</v>
      </c>
      <c r="P42" s="58" t="s">
        <v>231</v>
      </c>
    </row>
    <row r="43" spans="1:16" x14ac:dyDescent="0.3">
      <c r="A43" s="49" t="s">
        <v>238</v>
      </c>
      <c r="B43" s="22" t="s">
        <v>63</v>
      </c>
      <c r="C43" s="17">
        <v>110.4</v>
      </c>
      <c r="D43" s="17">
        <v>124.4</v>
      </c>
      <c r="E43" s="17">
        <v>127.5</v>
      </c>
      <c r="F43" s="17">
        <v>127.9</v>
      </c>
      <c r="G43" s="17">
        <v>135.5</v>
      </c>
      <c r="H43" s="17">
        <v>141</v>
      </c>
      <c r="I43" s="17">
        <v>160.19999999999999</v>
      </c>
      <c r="J43" s="17">
        <v>185.4</v>
      </c>
      <c r="K43" s="17">
        <v>179.6</v>
      </c>
      <c r="L43" s="17">
        <v>170.3</v>
      </c>
      <c r="M43" s="17">
        <v>156</v>
      </c>
      <c r="N43" s="17">
        <v>173</v>
      </c>
      <c r="O43" s="18" t="s">
        <v>8</v>
      </c>
      <c r="P43" s="58" t="s">
        <v>231</v>
      </c>
    </row>
    <row r="44" spans="1:16" x14ac:dyDescent="0.3">
      <c r="A44" s="49" t="s">
        <v>239</v>
      </c>
      <c r="B44" s="22" t="s">
        <v>63</v>
      </c>
      <c r="C44" s="17">
        <v>11.2</v>
      </c>
      <c r="D44" s="17">
        <v>10.199999999999999</v>
      </c>
      <c r="E44" s="17">
        <v>8.1999999999999993</v>
      </c>
      <c r="F44" s="17">
        <v>10.3</v>
      </c>
      <c r="G44" s="17">
        <v>13.3</v>
      </c>
      <c r="H44" s="17">
        <v>12</v>
      </c>
      <c r="I44" s="17">
        <v>14.5</v>
      </c>
      <c r="J44" s="17">
        <v>24</v>
      </c>
      <c r="K44" s="17">
        <v>25.4</v>
      </c>
      <c r="L44" s="17">
        <v>31</v>
      </c>
      <c r="M44" s="17">
        <v>36.700000000000003</v>
      </c>
      <c r="N44" s="17">
        <v>43.5</v>
      </c>
      <c r="O44" s="18" t="s">
        <v>8</v>
      </c>
      <c r="P44" s="58" t="s">
        <v>231</v>
      </c>
    </row>
    <row r="45" spans="1:16" x14ac:dyDescent="0.3">
      <c r="A45" s="49" t="s">
        <v>240</v>
      </c>
      <c r="B45" s="22" t="s">
        <v>63</v>
      </c>
      <c r="C45" s="17">
        <v>540.69999999999993</v>
      </c>
      <c r="D45" s="17">
        <v>699.30000000000007</v>
      </c>
      <c r="E45" s="17">
        <v>719.4</v>
      </c>
      <c r="F45" s="17">
        <v>747.1</v>
      </c>
      <c r="G45" s="17">
        <v>773.99999999999989</v>
      </c>
      <c r="H45" s="17">
        <v>778</v>
      </c>
      <c r="I45" s="17">
        <v>823.1</v>
      </c>
      <c r="J45" s="17">
        <v>865</v>
      </c>
      <c r="K45" s="17">
        <v>917.3</v>
      </c>
      <c r="L45" s="17">
        <v>939.19999999999993</v>
      </c>
      <c r="M45" s="17">
        <v>894.5</v>
      </c>
      <c r="N45" s="17">
        <v>982.59999999999991</v>
      </c>
      <c r="O45" s="18" t="s">
        <v>8</v>
      </c>
      <c r="P45" s="58" t="s">
        <v>231</v>
      </c>
    </row>
    <row r="46" spans="1:16" x14ac:dyDescent="0.3">
      <c r="A46" s="64" t="s">
        <v>241</v>
      </c>
      <c r="B46" s="22" t="s">
        <v>63</v>
      </c>
      <c r="C46" s="17">
        <v>262</v>
      </c>
      <c r="D46" s="17">
        <v>292.10000000000002</v>
      </c>
      <c r="E46" s="17">
        <v>307.89999999999998</v>
      </c>
      <c r="F46" s="17">
        <v>321</v>
      </c>
      <c r="G46" s="17">
        <v>330.2</v>
      </c>
      <c r="H46" s="17">
        <v>334.5</v>
      </c>
      <c r="I46" s="17">
        <v>350.5</v>
      </c>
      <c r="J46" s="17">
        <v>397.2</v>
      </c>
      <c r="K46" s="17">
        <v>426.5</v>
      </c>
      <c r="L46" s="17">
        <v>468.5</v>
      </c>
      <c r="M46" s="17">
        <v>422.6</v>
      </c>
      <c r="N46" s="17">
        <v>484.4</v>
      </c>
      <c r="O46" s="18" t="s">
        <v>8</v>
      </c>
      <c r="P46" s="59" t="s">
        <v>231</v>
      </c>
    </row>
    <row r="47" spans="1:16" x14ac:dyDescent="0.3">
      <c r="A47" s="49" t="s">
        <v>242</v>
      </c>
      <c r="B47" s="22" t="s">
        <v>63</v>
      </c>
      <c r="C47" s="17">
        <v>89.699999999999989</v>
      </c>
      <c r="D47" s="17">
        <v>102.5</v>
      </c>
      <c r="E47" s="17">
        <v>108.5</v>
      </c>
      <c r="F47" s="17">
        <v>112.19999999999999</v>
      </c>
      <c r="G47" s="17">
        <v>110.4</v>
      </c>
      <c r="H47" s="17">
        <v>122.2</v>
      </c>
      <c r="I47" s="17">
        <v>124.80000000000001</v>
      </c>
      <c r="J47" s="17">
        <v>124</v>
      </c>
      <c r="K47" s="17">
        <v>137.69999999999999</v>
      </c>
      <c r="L47" s="17">
        <v>124.2</v>
      </c>
      <c r="M47" s="17">
        <v>123.80000000000001</v>
      </c>
      <c r="N47" s="17">
        <v>120.9</v>
      </c>
      <c r="O47" s="18" t="s">
        <v>8</v>
      </c>
      <c r="P47" s="58" t="s">
        <v>231</v>
      </c>
    </row>
    <row r="48" spans="1:16" x14ac:dyDescent="0.3">
      <c r="A48" s="49" t="s">
        <v>243</v>
      </c>
      <c r="B48" s="22" t="s">
        <v>63</v>
      </c>
      <c r="C48" s="17">
        <v>351.90000000000003</v>
      </c>
      <c r="D48" s="17">
        <v>401.5</v>
      </c>
      <c r="E48" s="17">
        <v>422.4</v>
      </c>
      <c r="F48" s="17">
        <v>430.8</v>
      </c>
      <c r="G48" s="17">
        <v>444</v>
      </c>
      <c r="H48" s="17">
        <v>440.1</v>
      </c>
      <c r="I48" s="17">
        <v>463.1</v>
      </c>
      <c r="J48" s="17">
        <v>488.1</v>
      </c>
      <c r="K48" s="17">
        <v>553.6</v>
      </c>
      <c r="L48" s="17">
        <v>606.70000000000005</v>
      </c>
      <c r="M48" s="17">
        <v>514.69999999999993</v>
      </c>
      <c r="N48" s="17">
        <v>566.70000000000005</v>
      </c>
      <c r="O48" s="18" t="s">
        <v>8</v>
      </c>
      <c r="P48" s="58" t="s">
        <v>231</v>
      </c>
    </row>
    <row r="49" spans="1:16" x14ac:dyDescent="0.3">
      <c r="A49" s="64" t="s">
        <v>244</v>
      </c>
      <c r="B49" s="22" t="s">
        <v>63</v>
      </c>
      <c r="C49" s="17">
        <v>94.8</v>
      </c>
      <c r="D49" s="17">
        <v>110.4</v>
      </c>
      <c r="E49" s="17">
        <v>111.2</v>
      </c>
      <c r="F49" s="17">
        <v>106.5</v>
      </c>
      <c r="G49" s="17">
        <v>113.7</v>
      </c>
      <c r="H49" s="17">
        <v>98.9</v>
      </c>
      <c r="I49" s="17">
        <v>104.6</v>
      </c>
      <c r="J49" s="17">
        <v>113.4</v>
      </c>
      <c r="K49" s="17">
        <v>128.1</v>
      </c>
      <c r="L49" s="17">
        <v>132.80000000000001</v>
      </c>
      <c r="M49" s="17">
        <v>119.3</v>
      </c>
      <c r="N49" s="17">
        <v>124.5</v>
      </c>
      <c r="O49" s="18" t="s">
        <v>8</v>
      </c>
      <c r="P49" s="59" t="s">
        <v>231</v>
      </c>
    </row>
    <row r="50" spans="1:16" x14ac:dyDescent="0.3">
      <c r="A50" s="50" t="s">
        <v>245</v>
      </c>
      <c r="B50" s="22" t="s">
        <v>63</v>
      </c>
      <c r="C50" s="209">
        <v>2251.9</v>
      </c>
      <c r="D50" s="209">
        <v>2552.9</v>
      </c>
      <c r="E50" s="209">
        <v>2586.9</v>
      </c>
      <c r="F50" s="209">
        <v>2664.1000000000004</v>
      </c>
      <c r="G50" s="209">
        <v>2807.5</v>
      </c>
      <c r="H50" s="209">
        <v>2868.9999999999995</v>
      </c>
      <c r="I50" s="209">
        <v>2991.3</v>
      </c>
      <c r="J50" s="209">
        <v>3109.6</v>
      </c>
      <c r="K50" s="209">
        <v>3262.6999999999994</v>
      </c>
      <c r="L50" s="209">
        <v>3309.4999999999991</v>
      </c>
      <c r="M50" s="209">
        <v>3070.3</v>
      </c>
      <c r="N50" s="209">
        <v>3318.8999999999996</v>
      </c>
      <c r="O50" s="56" t="s">
        <v>8</v>
      </c>
      <c r="P50" s="60" t="s">
        <v>231</v>
      </c>
    </row>
    <row r="51" spans="1:16" ht="15.6" x14ac:dyDescent="0.3">
      <c r="A51" s="24" t="s">
        <v>252</v>
      </c>
      <c r="B51" s="25" t="s">
        <v>103</v>
      </c>
      <c r="C51" s="87">
        <f>IFERROR((C36+C37+C38+C39+C41+C42+C43+C44+C45+C47+C48)/C50,"")</f>
        <v>1.0008437319596786</v>
      </c>
      <c r="D51" s="87">
        <f t="shared" ref="D51:O51" si="1">IFERROR((D36+D37+D38+D39+D41+D42+D43+D44+D45+D47+D48)/D50,"")</f>
        <v>1</v>
      </c>
      <c r="E51" s="87">
        <f t="shared" si="1"/>
        <v>1</v>
      </c>
      <c r="F51" s="87">
        <f t="shared" si="1"/>
        <v>1</v>
      </c>
      <c r="G51" s="87">
        <f t="shared" si="1"/>
        <v>1</v>
      </c>
      <c r="H51" s="87">
        <f t="shared" si="1"/>
        <v>1</v>
      </c>
      <c r="I51" s="87">
        <f t="shared" si="1"/>
        <v>0.99999999999999989</v>
      </c>
      <c r="J51" s="87">
        <f t="shared" si="1"/>
        <v>1</v>
      </c>
      <c r="K51" s="87">
        <f t="shared" si="1"/>
        <v>1</v>
      </c>
      <c r="L51" s="87">
        <f t="shared" si="1"/>
        <v>1</v>
      </c>
      <c r="M51" s="87">
        <f t="shared" si="1"/>
        <v>1</v>
      </c>
      <c r="N51" s="87">
        <f t="shared" si="1"/>
        <v>1.0000000000000002</v>
      </c>
      <c r="O51" s="49" t="str">
        <f t="shared" si="1"/>
        <v/>
      </c>
      <c r="P51" s="8"/>
    </row>
    <row r="52" spans="1:16" ht="15.6" x14ac:dyDescent="0.3">
      <c r="A52" s="4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6" x14ac:dyDescent="0.3">
      <c r="A53" s="8" t="s">
        <v>247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3">
      <c r="A55" s="49" t="s">
        <v>248</v>
      </c>
      <c r="B55" s="63" t="s">
        <v>63</v>
      </c>
      <c r="C55" s="17">
        <v>229.71260000000001</v>
      </c>
      <c r="D55" s="17">
        <v>255.3715</v>
      </c>
      <c r="E55" s="17">
        <v>256.27960000000002</v>
      </c>
      <c r="F55" s="17">
        <v>256.01679999999999</v>
      </c>
      <c r="G55" s="17">
        <v>265.12880000000001</v>
      </c>
      <c r="H55" s="17">
        <v>247.92490000000001</v>
      </c>
      <c r="I55" s="17">
        <v>238.03380000000001</v>
      </c>
      <c r="J55" s="17">
        <v>303.55630000000002</v>
      </c>
      <c r="K55" s="17">
        <v>334.23059999999998</v>
      </c>
      <c r="L55" s="17">
        <v>298.47620000000001</v>
      </c>
      <c r="M55" s="17">
        <v>256.84350000000001</v>
      </c>
      <c r="N55" s="17">
        <v>281.3</v>
      </c>
      <c r="O55" s="18" t="s">
        <v>8</v>
      </c>
      <c r="P55" s="58" t="s">
        <v>231</v>
      </c>
    </row>
    <row r="56" spans="1:16" x14ac:dyDescent="0.3">
      <c r="A56" s="49" t="s">
        <v>253</v>
      </c>
      <c r="B56" s="63" t="s">
        <v>63</v>
      </c>
      <c r="C56" s="17">
        <v>655.37750000000005</v>
      </c>
      <c r="D56" s="17">
        <v>658.17949999999996</v>
      </c>
      <c r="E56" s="17">
        <v>654.74199999999996</v>
      </c>
      <c r="F56" s="17">
        <v>707.93029999999999</v>
      </c>
      <c r="G56" s="17">
        <v>748.64009999999996</v>
      </c>
      <c r="H56" s="17">
        <v>707.92650000000003</v>
      </c>
      <c r="I56" s="17">
        <v>768.06280000000004</v>
      </c>
      <c r="J56" s="17">
        <v>802.63200000000006</v>
      </c>
      <c r="K56" s="17">
        <v>800.52800000000002</v>
      </c>
      <c r="L56" s="17">
        <v>667.29719999999998</v>
      </c>
      <c r="M56" s="17">
        <v>696</v>
      </c>
      <c r="N56" s="17">
        <v>751.9</v>
      </c>
      <c r="O56" s="18" t="s">
        <v>8</v>
      </c>
      <c r="P56" s="58" t="s">
        <v>231</v>
      </c>
    </row>
    <row r="57" spans="1:16" x14ac:dyDescent="0.3">
      <c r="A57" s="49" t="s">
        <v>250</v>
      </c>
      <c r="B57" s="63" t="s">
        <v>63</v>
      </c>
      <c r="C57" s="17">
        <v>867.71349999999995</v>
      </c>
      <c r="D57" s="17">
        <v>1119.5725</v>
      </c>
      <c r="E57" s="17">
        <v>1214.8755000000001</v>
      </c>
      <c r="F57" s="17">
        <v>1165.1252999999999</v>
      </c>
      <c r="G57" s="17">
        <v>1094.4536000000001</v>
      </c>
      <c r="H57" s="17">
        <v>1098.4851000000001</v>
      </c>
      <c r="I57" s="17">
        <v>1229.943</v>
      </c>
      <c r="J57" s="17">
        <v>1348.3996</v>
      </c>
      <c r="K57" s="17">
        <v>1489.8443</v>
      </c>
      <c r="L57" s="17">
        <v>1461.4775999999999</v>
      </c>
      <c r="M57" s="17">
        <v>1513.2844</v>
      </c>
      <c r="N57" s="17">
        <v>1616.3</v>
      </c>
      <c r="O57" s="18" t="s">
        <v>8</v>
      </c>
      <c r="P57" s="58" t="s">
        <v>231</v>
      </c>
    </row>
    <row r="58" spans="1:16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8" x14ac:dyDescent="0.35">
      <c r="A61" s="48" t="s">
        <v>254</v>
      </c>
      <c r="B61" s="48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15.6" x14ac:dyDescent="0.3">
      <c r="A63" s="8" t="s">
        <v>255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5.6" x14ac:dyDescent="0.3">
      <c r="A64" s="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x14ac:dyDescent="0.3">
      <c r="A65" s="49" t="s">
        <v>256</v>
      </c>
      <c r="B65" s="22" t="s">
        <v>257</v>
      </c>
      <c r="C65" s="17">
        <v>92.31414194200633</v>
      </c>
      <c r="D65" s="17">
        <v>92.523860258273857</v>
      </c>
      <c r="E65" s="17">
        <v>90.572354265626899</v>
      </c>
      <c r="F65" s="17">
        <v>94.960816549599784</v>
      </c>
      <c r="G65" s="17">
        <v>102.1939681393325</v>
      </c>
      <c r="H65" s="17">
        <v>100</v>
      </c>
      <c r="I65" s="17">
        <v>100.95383172511593</v>
      </c>
      <c r="J65" s="17">
        <v>105.5</v>
      </c>
      <c r="K65" s="17">
        <v>107.9</v>
      </c>
      <c r="L65" s="17">
        <v>108.2</v>
      </c>
      <c r="M65" s="17">
        <v>102.8</v>
      </c>
      <c r="N65" s="17">
        <v>119.7</v>
      </c>
      <c r="O65" s="18" t="s">
        <v>8</v>
      </c>
      <c r="P65" s="58" t="s">
        <v>258</v>
      </c>
    </row>
    <row r="66" spans="1:16" x14ac:dyDescent="0.3">
      <c r="A66" s="49" t="s">
        <v>259</v>
      </c>
      <c r="B66" s="22" t="s">
        <v>257</v>
      </c>
      <c r="C66" s="17">
        <v>89.141607524370329</v>
      </c>
      <c r="D66" s="17">
        <v>94.163334033721668</v>
      </c>
      <c r="E66" s="17">
        <v>98.286074485431627</v>
      </c>
      <c r="F66" s="17">
        <v>93.715722213250302</v>
      </c>
      <c r="G66" s="17">
        <v>96.644213721475793</v>
      </c>
      <c r="H66" s="17">
        <v>100</v>
      </c>
      <c r="I66" s="17">
        <v>104.60907622251047</v>
      </c>
      <c r="J66" s="17">
        <v>109.97983923482862</v>
      </c>
      <c r="K66" s="17">
        <v>101.2</v>
      </c>
      <c r="L66" s="17">
        <v>95.2</v>
      </c>
      <c r="M66" s="17">
        <v>82.6</v>
      </c>
      <c r="N66" s="17">
        <v>85.8</v>
      </c>
      <c r="O66" s="18" t="s">
        <v>8</v>
      </c>
      <c r="P66" s="58" t="s">
        <v>258</v>
      </c>
    </row>
    <row r="67" spans="1:16" x14ac:dyDescent="0.3">
      <c r="A67" s="49" t="s">
        <v>260</v>
      </c>
      <c r="B67" s="22" t="s">
        <v>257</v>
      </c>
      <c r="C67" s="17">
        <v>66.111864474663435</v>
      </c>
      <c r="D67" s="17">
        <v>76.606713348675257</v>
      </c>
      <c r="E67" s="17">
        <v>77.048909979541278</v>
      </c>
      <c r="F67" s="17">
        <v>79.552295111604337</v>
      </c>
      <c r="G67" s="17">
        <v>91.146420111934859</v>
      </c>
      <c r="H67" s="17">
        <v>100</v>
      </c>
      <c r="I67" s="17">
        <v>103.0712157035836</v>
      </c>
      <c r="J67" s="17">
        <v>109.6</v>
      </c>
      <c r="K67" s="17">
        <v>114.8</v>
      </c>
      <c r="L67" s="17">
        <v>117.8</v>
      </c>
      <c r="M67" s="17">
        <v>106.6</v>
      </c>
      <c r="N67" s="17">
        <v>108.4</v>
      </c>
      <c r="O67" s="18" t="s">
        <v>8</v>
      </c>
      <c r="P67" s="58" t="s">
        <v>258</v>
      </c>
    </row>
    <row r="68" spans="1:16" x14ac:dyDescent="0.3">
      <c r="A68" s="49" t="s">
        <v>261</v>
      </c>
      <c r="B68" s="22" t="s">
        <v>257</v>
      </c>
      <c r="C68" s="17">
        <v>96.085721840296145</v>
      </c>
      <c r="D68" s="17">
        <v>92.260978260869564</v>
      </c>
      <c r="E68" s="17">
        <v>101.03960396039605</v>
      </c>
      <c r="F68" s="17">
        <v>101.42218934911243</v>
      </c>
      <c r="G68" s="17">
        <v>102.59468033186921</v>
      </c>
      <c r="H68" s="17">
        <v>100</v>
      </c>
      <c r="I68" s="17">
        <v>106.03213780084945</v>
      </c>
      <c r="J68" s="17">
        <v>110.25</v>
      </c>
      <c r="K68" s="17">
        <v>105.5</v>
      </c>
      <c r="L68" s="17">
        <v>103.09242871189775</v>
      </c>
      <c r="M68" s="17">
        <v>102.92808551992225</v>
      </c>
      <c r="N68" s="17">
        <v>107.65417638824077</v>
      </c>
      <c r="O68" s="18" t="s">
        <v>8</v>
      </c>
      <c r="P68" s="58" t="s">
        <v>258</v>
      </c>
    </row>
    <row r="69" spans="1:16" x14ac:dyDescent="0.3">
      <c r="A69" s="64" t="s">
        <v>262</v>
      </c>
      <c r="B69" s="22" t="s">
        <v>257</v>
      </c>
      <c r="C69" s="17">
        <v>106.57020400498449</v>
      </c>
      <c r="D69" s="17">
        <v>96.902666208151672</v>
      </c>
      <c r="E69" s="17">
        <v>98.978867415552543</v>
      </c>
      <c r="F69" s="17">
        <v>102.91841071945737</v>
      </c>
      <c r="G69" s="17">
        <v>106.30908601514145</v>
      </c>
      <c r="H69" s="17">
        <v>100</v>
      </c>
      <c r="I69" s="17">
        <v>103</v>
      </c>
      <c r="J69" s="17">
        <v>107.4</v>
      </c>
      <c r="K69" s="17">
        <v>98.2</v>
      </c>
      <c r="L69" s="17">
        <v>89.8</v>
      </c>
      <c r="M69" s="17">
        <v>101.2</v>
      </c>
      <c r="N69" s="17">
        <v>99.8</v>
      </c>
      <c r="O69" s="18" t="s">
        <v>8</v>
      </c>
      <c r="P69" s="59" t="s">
        <v>258</v>
      </c>
    </row>
    <row r="70" spans="1:16" x14ac:dyDescent="0.3">
      <c r="A70" s="49" t="s">
        <v>263</v>
      </c>
      <c r="B70" s="22" t="s">
        <v>257</v>
      </c>
      <c r="C70" s="17">
        <v>128.34847298355524</v>
      </c>
      <c r="D70" s="17">
        <v>131.57597551644989</v>
      </c>
      <c r="E70" s="17">
        <v>117.82784697508896</v>
      </c>
      <c r="F70" s="17">
        <v>116.2106625713032</v>
      </c>
      <c r="G70" s="17">
        <v>102.97892944038929</v>
      </c>
      <c r="H70" s="17">
        <v>100</v>
      </c>
      <c r="I70" s="17">
        <v>107.57531380753139</v>
      </c>
      <c r="J70" s="17">
        <v>98.531955079122</v>
      </c>
      <c r="K70" s="17">
        <v>104.46227722772277</v>
      </c>
      <c r="L70" s="17">
        <v>88.939588100686493</v>
      </c>
      <c r="M70" s="17">
        <v>97.663543266769082</v>
      </c>
      <c r="N70" s="17">
        <v>105.85903500473034</v>
      </c>
      <c r="O70" s="18" t="s">
        <v>8</v>
      </c>
      <c r="P70" s="58" t="s">
        <v>258</v>
      </c>
    </row>
    <row r="71" spans="1:16" x14ac:dyDescent="0.3">
      <c r="A71" s="49" t="s">
        <v>264</v>
      </c>
      <c r="B71" s="22" t="s">
        <v>257</v>
      </c>
      <c r="C71" s="17">
        <v>78.3</v>
      </c>
      <c r="D71" s="17">
        <v>88.3</v>
      </c>
      <c r="E71" s="17">
        <v>90.5</v>
      </c>
      <c r="F71" s="17">
        <v>90.8</v>
      </c>
      <c r="G71" s="17">
        <v>96.1</v>
      </c>
      <c r="H71" s="17">
        <v>100</v>
      </c>
      <c r="I71" s="17">
        <v>113.7</v>
      </c>
      <c r="J71" s="17">
        <v>131.5</v>
      </c>
      <c r="K71" s="17">
        <v>127.4</v>
      </c>
      <c r="L71" s="17">
        <v>120.8</v>
      </c>
      <c r="M71" s="17">
        <v>110.7</v>
      </c>
      <c r="N71" s="17">
        <v>122.7</v>
      </c>
      <c r="O71" s="18" t="s">
        <v>8</v>
      </c>
      <c r="P71" s="58" t="s">
        <v>258</v>
      </c>
    </row>
    <row r="72" spans="1:16" x14ac:dyDescent="0.3">
      <c r="A72" s="49" t="s">
        <v>265</v>
      </c>
      <c r="B72" s="22" t="s">
        <v>257</v>
      </c>
      <c r="C72" s="17">
        <v>93.3</v>
      </c>
      <c r="D72" s="17">
        <v>85.2</v>
      </c>
      <c r="E72" s="17">
        <v>68.099999999999994</v>
      </c>
      <c r="F72" s="17">
        <v>85.7</v>
      </c>
      <c r="G72" s="17">
        <v>111</v>
      </c>
      <c r="H72" s="17">
        <v>100</v>
      </c>
      <c r="I72" s="17">
        <v>120.6</v>
      </c>
      <c r="J72" s="17">
        <v>199.7</v>
      </c>
      <c r="K72" s="17">
        <v>211</v>
      </c>
      <c r="L72" s="17">
        <v>257.89999999999998</v>
      </c>
      <c r="M72" s="17">
        <v>305.2</v>
      </c>
      <c r="N72" s="17">
        <v>361.7</v>
      </c>
      <c r="O72" s="18" t="s">
        <v>8</v>
      </c>
      <c r="P72" s="58" t="s">
        <v>258</v>
      </c>
    </row>
    <row r="73" spans="1:16" x14ac:dyDescent="0.3">
      <c r="A73" s="49" t="s">
        <v>266</v>
      </c>
      <c r="B73" s="22" t="s">
        <v>257</v>
      </c>
      <c r="C73" s="17">
        <v>90.541102123356922</v>
      </c>
      <c r="D73" s="17">
        <v>119.71940298507462</v>
      </c>
      <c r="E73" s="17">
        <v>126.05607168983177</v>
      </c>
      <c r="F73" s="17">
        <v>130.26748509294984</v>
      </c>
      <c r="G73" s="17">
        <v>133.30991983967934</v>
      </c>
      <c r="H73" s="17">
        <v>133.33333333333334</v>
      </c>
      <c r="I73" s="17">
        <v>148.68737190082646</v>
      </c>
      <c r="J73" s="17">
        <v>161.23910614525138</v>
      </c>
      <c r="K73" s="17">
        <v>163.82884673291179</v>
      </c>
      <c r="L73" s="17">
        <v>161.89397944199709</v>
      </c>
      <c r="M73" s="17">
        <v>156.66734059097976</v>
      </c>
      <c r="N73" s="17">
        <v>190.87233283803863</v>
      </c>
      <c r="O73" s="18" t="s">
        <v>8</v>
      </c>
      <c r="P73" s="58" t="s">
        <v>258</v>
      </c>
    </row>
    <row r="74" spans="1:16" x14ac:dyDescent="0.3">
      <c r="A74" s="64" t="s">
        <v>267</v>
      </c>
      <c r="B74" s="22" t="s">
        <v>257</v>
      </c>
      <c r="C74" s="17">
        <v>78.3</v>
      </c>
      <c r="D74" s="17">
        <v>87.3</v>
      </c>
      <c r="E74" s="17">
        <v>92</v>
      </c>
      <c r="F74" s="17">
        <v>96</v>
      </c>
      <c r="G74" s="17">
        <v>98.7</v>
      </c>
      <c r="H74" s="17">
        <v>100</v>
      </c>
      <c r="I74" s="17">
        <v>104.8</v>
      </c>
      <c r="J74" s="17">
        <v>118.7</v>
      </c>
      <c r="K74" s="17">
        <v>127.5</v>
      </c>
      <c r="L74" s="17">
        <v>140.1</v>
      </c>
      <c r="M74" s="17">
        <v>126.3</v>
      </c>
      <c r="N74" s="17">
        <v>144.80000000000001</v>
      </c>
      <c r="O74" s="18" t="s">
        <v>8</v>
      </c>
      <c r="P74" s="59" t="s">
        <v>258</v>
      </c>
    </row>
    <row r="75" spans="1:16" x14ac:dyDescent="0.3">
      <c r="A75" s="49" t="s">
        <v>268</v>
      </c>
      <c r="B75" s="22" t="s">
        <v>257</v>
      </c>
      <c r="C75" s="17">
        <v>82.269478908188589</v>
      </c>
      <c r="D75" s="17">
        <v>88.75555555555556</v>
      </c>
      <c r="E75" s="17">
        <v>90.580552486187855</v>
      </c>
      <c r="F75" s="17">
        <v>94.63234515616729</v>
      </c>
      <c r="G75" s="17">
        <v>93.955632674853177</v>
      </c>
      <c r="H75" s="17">
        <v>100</v>
      </c>
      <c r="I75" s="17">
        <v>104.82259913999044</v>
      </c>
      <c r="J75" s="17">
        <v>103.21808046534173</v>
      </c>
      <c r="K75" s="17">
        <v>117.47462622810767</v>
      </c>
      <c r="L75" s="17">
        <v>112.16443135478025</v>
      </c>
      <c r="M75" s="17">
        <v>115.28256227758007</v>
      </c>
      <c r="N75" s="17">
        <v>102.11678115799803</v>
      </c>
      <c r="O75" s="18" t="s">
        <v>8</v>
      </c>
      <c r="P75" s="58" t="s">
        <v>258</v>
      </c>
    </row>
    <row r="76" spans="1:16" x14ac:dyDescent="0.3">
      <c r="A76" s="49" t="s">
        <v>269</v>
      </c>
      <c r="B76" s="22" t="s">
        <v>257</v>
      </c>
      <c r="C76" s="17">
        <v>83.168934426229512</v>
      </c>
      <c r="D76" s="17">
        <v>95.480707395498385</v>
      </c>
      <c r="E76" s="17">
        <v>99.050528829750945</v>
      </c>
      <c r="F76" s="17">
        <v>99.346257585974371</v>
      </c>
      <c r="G76" s="17">
        <v>103.43924050632911</v>
      </c>
      <c r="H76" s="17">
        <v>100</v>
      </c>
      <c r="I76" s="17">
        <v>104.96916719643991</v>
      </c>
      <c r="J76" s="17">
        <v>111.65758661887693</v>
      </c>
      <c r="K76" s="17">
        <v>129.74046814044215</v>
      </c>
      <c r="L76" s="17">
        <v>142.30825381679392</v>
      </c>
      <c r="M76" s="17">
        <v>117.80198187995468</v>
      </c>
      <c r="N76" s="17">
        <v>128.25204431548406</v>
      </c>
      <c r="O76" s="18" t="s">
        <v>8</v>
      </c>
      <c r="P76" s="58" t="s">
        <v>258</v>
      </c>
    </row>
    <row r="77" spans="1:16" x14ac:dyDescent="0.3">
      <c r="A77" s="64" t="s">
        <v>270</v>
      </c>
      <c r="B77" s="22" t="s">
        <v>257</v>
      </c>
      <c r="C77" s="17">
        <v>95.9</v>
      </c>
      <c r="D77" s="17">
        <v>111.6</v>
      </c>
      <c r="E77" s="17">
        <v>112.5</v>
      </c>
      <c r="F77" s="17">
        <v>107.7</v>
      </c>
      <c r="G77" s="17">
        <v>114.9</v>
      </c>
      <c r="H77" s="17">
        <v>100</v>
      </c>
      <c r="I77" s="17">
        <v>105.7</v>
      </c>
      <c r="J77" s="17">
        <v>114.6</v>
      </c>
      <c r="K77" s="17">
        <v>129.6</v>
      </c>
      <c r="L77" s="17">
        <v>134.30000000000001</v>
      </c>
      <c r="M77" s="17">
        <v>120.7</v>
      </c>
      <c r="N77" s="17">
        <v>125.9</v>
      </c>
      <c r="O77" s="18" t="s">
        <v>8</v>
      </c>
      <c r="P77" s="65" t="s">
        <v>258</v>
      </c>
    </row>
    <row r="78" spans="1:16" x14ac:dyDescent="0.3">
      <c r="A78" s="50" t="s">
        <v>271</v>
      </c>
      <c r="B78" s="22" t="s">
        <v>257</v>
      </c>
      <c r="C78" s="30">
        <v>85.6</v>
      </c>
      <c r="D78" s="30">
        <v>91.9</v>
      </c>
      <c r="E78" s="30">
        <v>94.5</v>
      </c>
      <c r="F78" s="30">
        <v>95.7</v>
      </c>
      <c r="G78" s="30">
        <v>98.3</v>
      </c>
      <c r="H78" s="30">
        <v>100</v>
      </c>
      <c r="I78" s="30">
        <v>102.9</v>
      </c>
      <c r="J78" s="30">
        <v>109.8</v>
      </c>
      <c r="K78" s="30">
        <v>114.3</v>
      </c>
      <c r="L78" s="30">
        <v>118.1</v>
      </c>
      <c r="M78" s="30">
        <v>118.1</v>
      </c>
      <c r="N78" s="30">
        <v>126.7</v>
      </c>
      <c r="O78" s="18" t="s">
        <v>8</v>
      </c>
      <c r="P78" s="58"/>
    </row>
    <row r="79" spans="1:16" x14ac:dyDescent="0.3">
      <c r="A79" s="49"/>
      <c r="B79" s="5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3">
      <c r="A80" s="4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5.6" x14ac:dyDescent="0.3">
      <c r="A81" s="8" t="s">
        <v>247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5.6" x14ac:dyDescent="0.3">
      <c r="A82" s="8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x14ac:dyDescent="0.3">
      <c r="A83" s="49" t="s">
        <v>272</v>
      </c>
      <c r="B83" s="22" t="s">
        <v>257</v>
      </c>
      <c r="C83" s="17">
        <v>92.654106142626262</v>
      </c>
      <c r="D83" s="17">
        <v>103.00357083939532</v>
      </c>
      <c r="E83" s="17">
        <v>103.36985111217147</v>
      </c>
      <c r="F83" s="17">
        <v>103.26385127109056</v>
      </c>
      <c r="G83" s="17">
        <v>106.93915778528094</v>
      </c>
      <c r="H83" s="17">
        <v>100</v>
      </c>
      <c r="I83" s="17">
        <v>96.010445098495552</v>
      </c>
      <c r="J83" s="17">
        <v>122.43881110771851</v>
      </c>
      <c r="K83" s="17">
        <v>134.81122710949967</v>
      </c>
      <c r="L83" s="17">
        <v>120.38976319038547</v>
      </c>
      <c r="M83" s="17">
        <v>103.59729902079219</v>
      </c>
      <c r="N83" s="17">
        <v>113.46177814330065</v>
      </c>
      <c r="O83" s="18" t="s">
        <v>8</v>
      </c>
      <c r="P83" s="59" t="s">
        <v>258</v>
      </c>
    </row>
    <row r="84" spans="1:16" x14ac:dyDescent="0.3">
      <c r="A84" s="49" t="s">
        <v>273</v>
      </c>
      <c r="B84" s="22" t="s">
        <v>257</v>
      </c>
      <c r="C84" s="17">
        <v>92.577054256338755</v>
      </c>
      <c r="D84" s="17">
        <v>92.972858058004604</v>
      </c>
      <c r="E84" s="17">
        <v>92.487285050072273</v>
      </c>
      <c r="F84" s="17">
        <v>100.00053677888876</v>
      </c>
      <c r="G84" s="17">
        <v>105.75110551731005</v>
      </c>
      <c r="H84" s="17">
        <v>100.00000000000001</v>
      </c>
      <c r="I84" s="17">
        <v>108.49470954964957</v>
      </c>
      <c r="J84" s="17">
        <v>113.37787185534093</v>
      </c>
      <c r="K84" s="17">
        <v>113.08066586008576</v>
      </c>
      <c r="L84" s="17">
        <v>94.260802498564473</v>
      </c>
      <c r="M84" s="17">
        <v>98.315291206078598</v>
      </c>
      <c r="N84" s="17">
        <v>106.21159117507254</v>
      </c>
      <c r="O84" s="18" t="s">
        <v>8</v>
      </c>
      <c r="P84" s="58" t="s">
        <v>258</v>
      </c>
    </row>
    <row r="85" spans="1:16" x14ac:dyDescent="0.3">
      <c r="A85" s="50" t="s">
        <v>274</v>
      </c>
      <c r="B85" s="22" t="s">
        <v>257</v>
      </c>
      <c r="C85" s="17">
        <v>78.991831568766827</v>
      </c>
      <c r="D85" s="17">
        <v>101.91968011218358</v>
      </c>
      <c r="E85" s="17">
        <v>110.59553743605626</v>
      </c>
      <c r="F85" s="17">
        <v>106.06655474889918</v>
      </c>
      <c r="G85" s="17">
        <v>99.632994566790202</v>
      </c>
      <c r="H85" s="17">
        <v>100</v>
      </c>
      <c r="I85" s="17">
        <v>111.8361095658011</v>
      </c>
      <c r="J85" s="17">
        <v>122.75083203222327</v>
      </c>
      <c r="K85" s="17">
        <v>135.62717418743321</v>
      </c>
      <c r="L85" s="17">
        <v>133.0448269166327</v>
      </c>
      <c r="M85" s="17">
        <v>137.76103107816391</v>
      </c>
      <c r="N85" s="17">
        <v>147.13900079300117</v>
      </c>
      <c r="O85" s="18" t="s">
        <v>8</v>
      </c>
      <c r="P85" s="58" t="s">
        <v>258</v>
      </c>
    </row>
    <row r="86" spans="1:16" x14ac:dyDescent="0.3">
      <c r="A86" s="49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8"/>
      <c r="P86" s="65"/>
    </row>
    <row r="87" spans="1:16" ht="15.6" x14ac:dyDescent="0.3">
      <c r="A87" s="8" t="s">
        <v>275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73"/>
      <c r="P87" s="25"/>
    </row>
    <row r="88" spans="1:16" x14ac:dyDescent="0.3">
      <c r="A88" s="49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73"/>
      <c r="P88" s="25"/>
    </row>
    <row r="89" spans="1:16" x14ac:dyDescent="0.3">
      <c r="A89" s="49" t="s">
        <v>276</v>
      </c>
      <c r="B89" s="191" t="s">
        <v>277</v>
      </c>
      <c r="C89" s="66">
        <v>0.3</v>
      </c>
      <c r="D89" s="66">
        <v>0.3</v>
      </c>
      <c r="E89" s="66">
        <v>0.2</v>
      </c>
      <c r="F89" s="66">
        <v>0.2</v>
      </c>
      <c r="G89" s="66">
        <v>0.14899999999999999</v>
      </c>
      <c r="H89" s="66">
        <v>0.24</v>
      </c>
      <c r="I89" s="66">
        <v>1.65</v>
      </c>
      <c r="J89" s="66">
        <v>1.512</v>
      </c>
      <c r="K89" s="66">
        <v>0.93540000000000001</v>
      </c>
      <c r="L89" s="67">
        <v>1.4339999999999999</v>
      </c>
      <c r="M89" s="66">
        <v>1.2529000000000001</v>
      </c>
      <c r="N89" s="71">
        <v>7.9299999999999995E-2</v>
      </c>
      <c r="O89" s="18" t="s">
        <v>8</v>
      </c>
      <c r="P89" s="58" t="s">
        <v>278</v>
      </c>
    </row>
    <row r="90" spans="1:16" x14ac:dyDescent="0.3">
      <c r="A90" s="64" t="s">
        <v>279</v>
      </c>
      <c r="B90" s="192" t="s">
        <v>277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18" t="s">
        <v>8</v>
      </c>
      <c r="P90" s="58" t="s">
        <v>278</v>
      </c>
    </row>
    <row r="91" spans="1:16" x14ac:dyDescent="0.3">
      <c r="A91" s="64" t="s">
        <v>280</v>
      </c>
      <c r="B91" s="192" t="s">
        <v>277</v>
      </c>
      <c r="C91" s="69">
        <v>0.3</v>
      </c>
      <c r="D91" s="69">
        <v>0.3</v>
      </c>
      <c r="E91" s="69">
        <v>0.2</v>
      </c>
      <c r="F91" s="69">
        <v>0.2</v>
      </c>
      <c r="G91" s="69">
        <v>0.14899999999999999</v>
      </c>
      <c r="H91" s="69">
        <v>0.24</v>
      </c>
      <c r="I91" s="69">
        <v>1.65</v>
      </c>
      <c r="J91" s="69">
        <v>1.512</v>
      </c>
      <c r="K91" s="69">
        <v>0.93540000000000001</v>
      </c>
      <c r="L91" s="69">
        <v>1.4339999999999999</v>
      </c>
      <c r="M91" s="66">
        <v>1.2529000000000001</v>
      </c>
      <c r="N91" s="71">
        <v>7.9299999999999995E-2</v>
      </c>
      <c r="O91" s="18" t="s">
        <v>8</v>
      </c>
      <c r="P91" s="58" t="s">
        <v>278</v>
      </c>
    </row>
    <row r="92" spans="1:16" x14ac:dyDescent="0.3">
      <c r="A92" s="49" t="s">
        <v>281</v>
      </c>
      <c r="B92" s="191" t="s">
        <v>277</v>
      </c>
      <c r="C92" s="71">
        <v>375</v>
      </c>
      <c r="D92" s="71">
        <v>451</v>
      </c>
      <c r="E92" s="71">
        <v>481</v>
      </c>
      <c r="F92" s="71">
        <v>456</v>
      </c>
      <c r="G92" s="71">
        <v>447.35</v>
      </c>
      <c r="H92" s="71">
        <v>390</v>
      </c>
      <c r="I92" s="71">
        <v>318.5</v>
      </c>
      <c r="J92" s="71">
        <v>517.91600000000005</v>
      </c>
      <c r="K92" s="71">
        <v>526.34900000000005</v>
      </c>
      <c r="L92" s="71">
        <v>121.911</v>
      </c>
      <c r="M92" s="71">
        <v>255.3</v>
      </c>
      <c r="N92" s="71">
        <f t="shared" ref="N92" si="2">M92/1000</f>
        <v>0.25530000000000003</v>
      </c>
      <c r="O92" s="18" t="s">
        <v>8</v>
      </c>
      <c r="P92" s="58" t="s">
        <v>282</v>
      </c>
    </row>
    <row r="93" spans="1:16" x14ac:dyDescent="0.3">
      <c r="A93" s="49" t="s">
        <v>283</v>
      </c>
      <c r="B93" s="191" t="s">
        <v>277</v>
      </c>
      <c r="C93" s="71">
        <v>536.69100000000003</v>
      </c>
      <c r="D93" s="71">
        <v>719</v>
      </c>
      <c r="E93" s="71">
        <v>715</v>
      </c>
      <c r="F93" s="71">
        <v>691</v>
      </c>
      <c r="G93" s="71">
        <v>720.48</v>
      </c>
      <c r="H93" s="71">
        <v>356</v>
      </c>
      <c r="I93" s="71">
        <v>422.8</v>
      </c>
      <c r="J93" s="71">
        <v>502.92</v>
      </c>
      <c r="K93" s="71">
        <v>505.34899999999999</v>
      </c>
      <c r="L93" s="71">
        <v>159.6</v>
      </c>
      <c r="M93" s="71">
        <v>34.9</v>
      </c>
      <c r="N93" s="71">
        <v>0</v>
      </c>
      <c r="O93" s="18" t="s">
        <v>8</v>
      </c>
      <c r="P93" s="58" t="s">
        <v>282</v>
      </c>
    </row>
    <row r="94" spans="1:16" x14ac:dyDescent="0.3">
      <c r="A94" s="49" t="s">
        <v>284</v>
      </c>
      <c r="B94" s="191" t="s">
        <v>277</v>
      </c>
      <c r="C94" s="71">
        <v>0</v>
      </c>
      <c r="D94" s="71">
        <v>0</v>
      </c>
      <c r="E94" s="71">
        <v>17</v>
      </c>
      <c r="F94" s="71">
        <v>121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18" t="s">
        <v>8</v>
      </c>
      <c r="P94" s="58" t="s">
        <v>282</v>
      </c>
    </row>
    <row r="95" spans="1:16" x14ac:dyDescent="0.3">
      <c r="A95" s="49" t="s">
        <v>285</v>
      </c>
      <c r="B95" s="191" t="s">
        <v>277</v>
      </c>
      <c r="C95" s="71">
        <v>73.099999999999994</v>
      </c>
      <c r="D95" s="71">
        <v>70.5</v>
      </c>
      <c r="E95" s="71">
        <v>77.3</v>
      </c>
      <c r="F95" s="71">
        <v>74.900000000000006</v>
      </c>
      <c r="G95" s="71">
        <v>75</v>
      </c>
      <c r="H95" s="71">
        <v>65.5</v>
      </c>
      <c r="I95" s="71">
        <v>65.174999999999997</v>
      </c>
      <c r="J95" s="71">
        <v>67</v>
      </c>
      <c r="K95" s="71">
        <v>75.709999999999994</v>
      </c>
      <c r="L95" s="71">
        <v>59.999199999999995</v>
      </c>
      <c r="M95" s="71">
        <v>60.923000000000002</v>
      </c>
      <c r="N95" s="71">
        <v>5.6017999999999999</v>
      </c>
      <c r="O95" s="18" t="s">
        <v>8</v>
      </c>
      <c r="P95" s="58" t="s">
        <v>282</v>
      </c>
    </row>
    <row r="96" spans="1:16" x14ac:dyDescent="0.3">
      <c r="A96" s="49" t="s">
        <v>286</v>
      </c>
      <c r="B96" s="191" t="s">
        <v>277</v>
      </c>
      <c r="C96" s="71">
        <v>220.8</v>
      </c>
      <c r="D96" s="71">
        <v>221.4</v>
      </c>
      <c r="E96" s="71">
        <v>232.8</v>
      </c>
      <c r="F96" s="71">
        <v>223.8</v>
      </c>
      <c r="G96" s="71">
        <v>239.24799999999999</v>
      </c>
      <c r="H96" s="71">
        <v>247.732</v>
      </c>
      <c r="I96" s="71">
        <v>244</v>
      </c>
      <c r="J96" s="71">
        <v>241.88200000000001</v>
      </c>
      <c r="K96" s="71">
        <v>233.93</v>
      </c>
      <c r="L96" s="71">
        <v>222.29</v>
      </c>
      <c r="M96" s="71">
        <v>230.18099999999998</v>
      </c>
      <c r="N96" s="71">
        <f>N97+N98</f>
        <v>22.001000000000001</v>
      </c>
      <c r="O96" s="18" t="s">
        <v>8</v>
      </c>
      <c r="P96" s="18" t="s">
        <v>287</v>
      </c>
    </row>
    <row r="97" spans="1:16" x14ac:dyDescent="0.3">
      <c r="A97" s="64" t="s">
        <v>288</v>
      </c>
      <c r="B97" s="192" t="s">
        <v>277</v>
      </c>
      <c r="C97" s="68">
        <v>148</v>
      </c>
      <c r="D97" s="68">
        <v>150.80000000000001</v>
      </c>
      <c r="E97" s="68">
        <v>158.4</v>
      </c>
      <c r="F97" s="68">
        <v>151</v>
      </c>
      <c r="G97" s="68">
        <v>166.24799999999999</v>
      </c>
      <c r="H97" s="68">
        <v>173.732</v>
      </c>
      <c r="I97" s="68">
        <v>178</v>
      </c>
      <c r="J97" s="71">
        <v>175</v>
      </c>
      <c r="K97" s="71">
        <v>164.95599999999999</v>
      </c>
      <c r="L97" s="71">
        <v>166.98099999999999</v>
      </c>
      <c r="M97" s="71">
        <v>173.601</v>
      </c>
      <c r="N97" s="71">
        <v>16.690000000000001</v>
      </c>
      <c r="O97" s="18" t="s">
        <v>8</v>
      </c>
      <c r="P97" s="58" t="s">
        <v>282</v>
      </c>
    </row>
    <row r="98" spans="1:16" x14ac:dyDescent="0.3">
      <c r="A98" s="64" t="s">
        <v>289</v>
      </c>
      <c r="B98" s="192" t="s">
        <v>277</v>
      </c>
      <c r="C98" s="68">
        <v>72.8</v>
      </c>
      <c r="D98" s="68">
        <v>70.599999999999994</v>
      </c>
      <c r="E98" s="68">
        <v>74.400000000000006</v>
      </c>
      <c r="F98" s="68">
        <v>72.8</v>
      </c>
      <c r="G98" s="68">
        <v>73</v>
      </c>
      <c r="H98" s="68">
        <v>74</v>
      </c>
      <c r="I98" s="68">
        <v>66</v>
      </c>
      <c r="J98" s="71">
        <v>66.882000000000005</v>
      </c>
      <c r="K98" s="71">
        <v>68.97</v>
      </c>
      <c r="L98" s="55">
        <v>55.31</v>
      </c>
      <c r="M98" s="71">
        <v>56.58</v>
      </c>
      <c r="N98" s="71">
        <v>5.3109999999999999</v>
      </c>
      <c r="O98" s="18" t="s">
        <v>8</v>
      </c>
      <c r="P98" s="58" t="s">
        <v>282</v>
      </c>
    </row>
    <row r="99" spans="1:16" x14ac:dyDescent="0.3">
      <c r="A99" s="49" t="s">
        <v>290</v>
      </c>
      <c r="B99" s="191" t="s">
        <v>277</v>
      </c>
      <c r="C99" s="71">
        <v>81.599999999999994</v>
      </c>
      <c r="D99" s="71">
        <v>81.400000000000006</v>
      </c>
      <c r="E99" s="71">
        <v>73.900000000000006</v>
      </c>
      <c r="F99" s="71">
        <v>84</v>
      </c>
      <c r="G99" s="71">
        <v>64</v>
      </c>
      <c r="H99" s="71">
        <v>88.04</v>
      </c>
      <c r="I99" s="71">
        <v>81.52</v>
      </c>
      <c r="J99" s="71">
        <v>84.85</v>
      </c>
      <c r="K99" s="71">
        <v>86.242999999999995</v>
      </c>
      <c r="L99" s="71">
        <v>86.683000000000007</v>
      </c>
      <c r="M99" s="71" t="s">
        <v>291</v>
      </c>
      <c r="N99" s="71">
        <v>78</v>
      </c>
      <c r="O99" s="18" t="s">
        <v>48</v>
      </c>
      <c r="P99" s="58" t="s">
        <v>292</v>
      </c>
    </row>
    <row r="100" spans="1:16" x14ac:dyDescent="0.3">
      <c r="A100" s="64" t="s">
        <v>293</v>
      </c>
      <c r="B100" s="192" t="s">
        <v>277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71">
        <v>0</v>
      </c>
      <c r="K100" s="71">
        <v>0</v>
      </c>
      <c r="L100" s="55">
        <v>0</v>
      </c>
      <c r="M100" s="71">
        <v>0</v>
      </c>
      <c r="N100" s="71">
        <v>0</v>
      </c>
      <c r="O100" s="18" t="s">
        <v>48</v>
      </c>
      <c r="P100" s="58" t="s">
        <v>292</v>
      </c>
    </row>
    <row r="101" spans="1:16" x14ac:dyDescent="0.3">
      <c r="A101" s="64" t="s">
        <v>294</v>
      </c>
      <c r="B101" s="192" t="s">
        <v>277</v>
      </c>
      <c r="C101" s="68">
        <v>81.599999999999994</v>
      </c>
      <c r="D101" s="68">
        <v>81.400000000000006</v>
      </c>
      <c r="E101" s="68">
        <v>73.900000000000006</v>
      </c>
      <c r="F101" s="68">
        <v>84</v>
      </c>
      <c r="G101" s="68">
        <v>64</v>
      </c>
      <c r="H101" s="71">
        <v>88.04</v>
      </c>
      <c r="I101" s="71">
        <v>81.52</v>
      </c>
      <c r="J101" s="71">
        <v>84.85</v>
      </c>
      <c r="K101" s="71">
        <v>86.242999999999995</v>
      </c>
      <c r="L101" s="71">
        <v>86.683000000000007</v>
      </c>
      <c r="M101" s="71" t="s">
        <v>291</v>
      </c>
      <c r="N101" s="71">
        <v>78</v>
      </c>
      <c r="O101" s="18" t="s">
        <v>48</v>
      </c>
      <c r="P101" s="58" t="s">
        <v>292</v>
      </c>
    </row>
    <row r="102" spans="1:16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ht="18" x14ac:dyDescent="0.35">
      <c r="A103" s="48" t="s">
        <v>295</v>
      </c>
      <c r="B103" s="48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5.6" x14ac:dyDescent="0.3">
      <c r="A105" s="8" t="s">
        <v>296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x14ac:dyDescent="0.3">
      <c r="A106" s="49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x14ac:dyDescent="0.3">
      <c r="A107" s="49" t="s">
        <v>297</v>
      </c>
      <c r="B107" s="191" t="s">
        <v>224</v>
      </c>
      <c r="C107" s="71">
        <v>369.99999999999994</v>
      </c>
      <c r="D107" s="71">
        <v>239.72222222222217</v>
      </c>
      <c r="E107" s="71">
        <v>312.22222222222223</v>
      </c>
      <c r="F107" s="71">
        <v>300.27777777777777</v>
      </c>
      <c r="G107" s="71">
        <v>265</v>
      </c>
      <c r="H107" s="71">
        <v>370.83333333333331</v>
      </c>
      <c r="I107" s="71">
        <v>347.77777777777777</v>
      </c>
      <c r="J107" s="71">
        <v>214.72222222222223</v>
      </c>
      <c r="K107" s="71">
        <v>132.22222222222223</v>
      </c>
      <c r="L107" s="71">
        <v>309.44444444444451</v>
      </c>
      <c r="M107" s="71">
        <v>276.11111111111109</v>
      </c>
      <c r="N107" s="71">
        <v>205.55555555555554</v>
      </c>
      <c r="O107" s="72"/>
      <c r="P107" s="49"/>
    </row>
    <row r="108" spans="1:16" x14ac:dyDescent="0.3">
      <c r="A108" s="64" t="s">
        <v>298</v>
      </c>
      <c r="B108" s="191" t="s">
        <v>224</v>
      </c>
      <c r="C108" s="71">
        <v>199.99999999999997</v>
      </c>
      <c r="D108" s="71">
        <v>105.83333333333331</v>
      </c>
      <c r="E108" s="71">
        <v>152.5</v>
      </c>
      <c r="F108" s="71">
        <v>164.44444444444443</v>
      </c>
      <c r="G108" s="71">
        <v>129.16666666666666</v>
      </c>
      <c r="H108" s="71">
        <v>211.11111111111111</v>
      </c>
      <c r="I108" s="71">
        <v>188.05555555555554</v>
      </c>
      <c r="J108" s="71">
        <v>138.88888888888889</v>
      </c>
      <c r="K108" s="71">
        <v>93.888888888888886</v>
      </c>
      <c r="L108" s="71">
        <v>106.66666666666666</v>
      </c>
      <c r="M108" s="71">
        <v>52.500000000000007</v>
      </c>
      <c r="N108" s="71">
        <v>68.055555555555557</v>
      </c>
      <c r="O108" s="72" t="s">
        <v>8</v>
      </c>
      <c r="P108" s="18" t="s">
        <v>108</v>
      </c>
    </row>
    <row r="109" spans="1:16" x14ac:dyDescent="0.3">
      <c r="A109" s="194" t="s">
        <v>110</v>
      </c>
      <c r="B109" s="191" t="s">
        <v>224</v>
      </c>
      <c r="C109" s="71">
        <v>132.49999999999997</v>
      </c>
      <c r="D109" s="71">
        <v>108.88888888888889</v>
      </c>
      <c r="E109" s="71">
        <v>108.88888888888889</v>
      </c>
      <c r="F109" s="71">
        <v>97.777777777777771</v>
      </c>
      <c r="G109" s="71">
        <v>97.777777777777771</v>
      </c>
      <c r="H109" s="71">
        <v>108.88888888888889</v>
      </c>
      <c r="I109" s="71">
        <v>108.8888888888889</v>
      </c>
      <c r="J109" s="71">
        <v>0</v>
      </c>
      <c r="K109" s="71">
        <v>0</v>
      </c>
      <c r="L109" s="71">
        <v>115.27777777777777</v>
      </c>
      <c r="M109" s="71">
        <v>154.44444444444443</v>
      </c>
      <c r="N109" s="71">
        <v>104.44444444444443</v>
      </c>
      <c r="O109" s="72" t="s">
        <v>8</v>
      </c>
      <c r="P109" s="18" t="s">
        <v>108</v>
      </c>
    </row>
    <row r="110" spans="1:16" x14ac:dyDescent="0.3">
      <c r="A110" s="64" t="s">
        <v>299</v>
      </c>
      <c r="B110" s="191" t="s">
        <v>224</v>
      </c>
      <c r="C110" s="71">
        <v>37.5</v>
      </c>
      <c r="D110" s="71">
        <v>25</v>
      </c>
      <c r="E110" s="71">
        <v>50.833333333333329</v>
      </c>
      <c r="F110" s="71">
        <v>38.055555555555557</v>
      </c>
      <c r="G110" s="71">
        <v>38.055555555555557</v>
      </c>
      <c r="H110" s="71">
        <v>50.833333333333329</v>
      </c>
      <c r="I110" s="71">
        <v>50.833333333333329</v>
      </c>
      <c r="J110" s="71">
        <v>75.833333333333329</v>
      </c>
      <c r="K110" s="71">
        <v>38.333333333333336</v>
      </c>
      <c r="L110" s="71">
        <v>87.500000000000014</v>
      </c>
      <c r="M110" s="71">
        <v>69.166666666666657</v>
      </c>
      <c r="N110" s="71">
        <v>33.055555555555557</v>
      </c>
      <c r="O110" s="72" t="s">
        <v>8</v>
      </c>
      <c r="P110" s="18" t="s">
        <v>108</v>
      </c>
    </row>
    <row r="111" spans="1:16" x14ac:dyDescent="0.3">
      <c r="A111" s="49" t="s">
        <v>300</v>
      </c>
      <c r="B111" s="191" t="s">
        <v>224</v>
      </c>
      <c r="C111" s="71">
        <v>1245.5555555555554</v>
      </c>
      <c r="D111" s="71">
        <v>1221.9444444444443</v>
      </c>
      <c r="E111" s="71">
        <v>1264.9999999999998</v>
      </c>
      <c r="F111" s="71">
        <v>1572.7777777777781</v>
      </c>
      <c r="G111" s="71">
        <v>1017.7777777777778</v>
      </c>
      <c r="H111" s="71">
        <v>974.16666666666674</v>
      </c>
      <c r="I111" s="71">
        <v>1090.2777777777778</v>
      </c>
      <c r="J111" s="71">
        <v>1010.2777777777776</v>
      </c>
      <c r="K111" s="71">
        <v>1138.3333333333333</v>
      </c>
      <c r="L111" s="71">
        <v>1045.5555555555554</v>
      </c>
      <c r="M111" s="71">
        <v>1027.2222222222222</v>
      </c>
      <c r="N111" s="71">
        <v>1042.2222222222222</v>
      </c>
      <c r="O111" s="72"/>
      <c r="P111" s="58"/>
    </row>
    <row r="112" spans="1:16" x14ac:dyDescent="0.3">
      <c r="A112" s="64" t="s">
        <v>301</v>
      </c>
      <c r="B112" s="191" t="s">
        <v>224</v>
      </c>
      <c r="C112" s="71">
        <v>1245.5555555555554</v>
      </c>
      <c r="D112" s="71">
        <v>1221.9444444444443</v>
      </c>
      <c r="E112" s="71">
        <v>1264.9999999999998</v>
      </c>
      <c r="F112" s="71">
        <v>1572.7777777777781</v>
      </c>
      <c r="G112" s="71">
        <v>1017.7777777777778</v>
      </c>
      <c r="H112" s="71">
        <v>974.16666666666674</v>
      </c>
      <c r="I112" s="71">
        <v>1090.2777777777778</v>
      </c>
      <c r="J112" s="71">
        <v>1010.2777777777776</v>
      </c>
      <c r="K112" s="71">
        <v>1138.3333333333333</v>
      </c>
      <c r="L112" s="71">
        <v>1045.5555555555554</v>
      </c>
      <c r="M112" s="71">
        <v>1027.2222222222222</v>
      </c>
      <c r="N112" s="71">
        <v>1042.2222222222222</v>
      </c>
      <c r="O112" s="72" t="s">
        <v>8</v>
      </c>
      <c r="P112" s="18" t="s">
        <v>108</v>
      </c>
    </row>
    <row r="113" spans="1:16" x14ac:dyDescent="0.3">
      <c r="A113" s="64" t="s">
        <v>302</v>
      </c>
      <c r="B113" s="191" t="s">
        <v>224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2" t="s">
        <v>8</v>
      </c>
      <c r="P113" s="18" t="s">
        <v>108</v>
      </c>
    </row>
    <row r="114" spans="1:16" x14ac:dyDescent="0.3">
      <c r="A114" s="49" t="s">
        <v>303</v>
      </c>
      <c r="B114" s="191" t="s">
        <v>224</v>
      </c>
      <c r="C114" s="71">
        <v>866.94444444444434</v>
      </c>
      <c r="D114" s="71">
        <v>1038.6111111111111</v>
      </c>
      <c r="E114" s="71">
        <v>876.38888888888891</v>
      </c>
      <c r="F114" s="71">
        <v>1459.4444444444446</v>
      </c>
      <c r="G114" s="71">
        <v>1081.1111111111111</v>
      </c>
      <c r="H114" s="71">
        <v>558.8888888888888</v>
      </c>
      <c r="I114" s="71">
        <v>456.11111111111109</v>
      </c>
      <c r="J114" s="71">
        <v>632.22222222222206</v>
      </c>
      <c r="K114" s="71">
        <v>630.83333333333337</v>
      </c>
      <c r="L114" s="71">
        <v>747.49999999999989</v>
      </c>
      <c r="M114" s="71">
        <v>117.5</v>
      </c>
      <c r="N114" s="71">
        <v>0.55555555555555558</v>
      </c>
      <c r="O114" s="72"/>
      <c r="P114" s="58"/>
    </row>
    <row r="115" spans="1:16" x14ac:dyDescent="0.3">
      <c r="A115" s="64" t="s">
        <v>114</v>
      </c>
      <c r="B115" s="191" t="s">
        <v>224</v>
      </c>
      <c r="C115" s="71">
        <v>354.44444444444446</v>
      </c>
      <c r="D115" s="71">
        <v>431.3888888888888</v>
      </c>
      <c r="E115" s="71">
        <v>393.61111111111109</v>
      </c>
      <c r="F115" s="71">
        <v>324.16666666666669</v>
      </c>
      <c r="G115" s="71">
        <v>490.27777777777771</v>
      </c>
      <c r="H115" s="71">
        <v>165.83333333333334</v>
      </c>
      <c r="I115" s="71">
        <v>150.83333333333334</v>
      </c>
      <c r="J115" s="71">
        <v>208.33333333333329</v>
      </c>
      <c r="K115" s="71">
        <v>268.88888888888886</v>
      </c>
      <c r="L115" s="71">
        <v>316.66666666666669</v>
      </c>
      <c r="M115" s="71">
        <v>59.722222222222221</v>
      </c>
      <c r="N115" s="71">
        <v>0</v>
      </c>
      <c r="O115" s="72" t="s">
        <v>8</v>
      </c>
      <c r="P115" s="18" t="s">
        <v>108</v>
      </c>
    </row>
    <row r="116" spans="1:16" x14ac:dyDescent="0.3">
      <c r="A116" s="64" t="s">
        <v>304</v>
      </c>
      <c r="B116" s="191" t="s">
        <v>224</v>
      </c>
      <c r="C116" s="71">
        <v>512.5</v>
      </c>
      <c r="D116" s="71">
        <v>607.22222222222217</v>
      </c>
      <c r="E116" s="71">
        <v>482.77777777777771</v>
      </c>
      <c r="F116" s="71">
        <v>421.94444444444446</v>
      </c>
      <c r="G116" s="71">
        <v>394.44444444444446</v>
      </c>
      <c r="H116" s="71">
        <v>173.88888888888889</v>
      </c>
      <c r="I116" s="71">
        <v>113.33333333333334</v>
      </c>
      <c r="J116" s="71">
        <v>232.5</v>
      </c>
      <c r="K116" s="71">
        <v>260.83333333333331</v>
      </c>
      <c r="L116" s="71">
        <v>231.11111111111111</v>
      </c>
      <c r="M116" s="71">
        <v>16.111111111111107</v>
      </c>
      <c r="N116" s="71">
        <v>0</v>
      </c>
      <c r="O116" s="72" t="s">
        <v>8</v>
      </c>
      <c r="P116" s="18" t="s">
        <v>108</v>
      </c>
    </row>
    <row r="117" spans="1:16" x14ac:dyDescent="0.3">
      <c r="A117" s="64" t="s">
        <v>116</v>
      </c>
      <c r="B117" s="191" t="s">
        <v>224</v>
      </c>
      <c r="C117" s="71">
        <v>0</v>
      </c>
      <c r="D117" s="71">
        <v>0</v>
      </c>
      <c r="E117" s="71">
        <v>0</v>
      </c>
      <c r="F117" s="71">
        <v>39.722222222222221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2" t="s">
        <v>8</v>
      </c>
      <c r="P117" s="18" t="s">
        <v>108</v>
      </c>
    </row>
    <row r="118" spans="1:16" x14ac:dyDescent="0.3">
      <c r="A118" s="64" t="s">
        <v>117</v>
      </c>
      <c r="B118" s="191" t="s">
        <v>224</v>
      </c>
      <c r="C118" s="71">
        <v>0</v>
      </c>
      <c r="D118" s="71">
        <v>0</v>
      </c>
      <c r="E118" s="71">
        <v>0</v>
      </c>
      <c r="F118" s="71">
        <v>673.61111111111109</v>
      </c>
      <c r="G118" s="71">
        <v>196.38888888888889</v>
      </c>
      <c r="H118" s="71">
        <v>219.16666666666666</v>
      </c>
      <c r="I118" s="71">
        <v>191.94444444444446</v>
      </c>
      <c r="J118" s="71">
        <v>191.38888888888886</v>
      </c>
      <c r="K118" s="71">
        <v>101.11111111111111</v>
      </c>
      <c r="L118" s="71">
        <v>199.72222222222223</v>
      </c>
      <c r="M118" s="71">
        <v>41.666666666666664</v>
      </c>
      <c r="N118" s="71">
        <v>0.55555555555555558</v>
      </c>
      <c r="O118" s="72" t="s">
        <v>8</v>
      </c>
      <c r="P118" s="18" t="s">
        <v>108</v>
      </c>
    </row>
    <row r="119" spans="1:16" x14ac:dyDescent="0.3">
      <c r="A119" s="49" t="s">
        <v>305</v>
      </c>
      <c r="B119" s="191" t="s">
        <v>224</v>
      </c>
      <c r="C119" s="71">
        <v>480.00000000000006</v>
      </c>
      <c r="D119" s="71">
        <v>418.33333333333337</v>
      </c>
      <c r="E119" s="71">
        <v>396.11111111111109</v>
      </c>
      <c r="F119" s="71">
        <v>365</v>
      </c>
      <c r="G119" s="71">
        <v>346.66666666666669</v>
      </c>
      <c r="H119" s="71">
        <v>411.66666666666663</v>
      </c>
      <c r="I119" s="71">
        <v>413.33333333333337</v>
      </c>
      <c r="J119" s="71">
        <v>406.94444444444451</v>
      </c>
      <c r="K119" s="71">
        <v>393.05555555555554</v>
      </c>
      <c r="L119" s="71">
        <v>365.83333333333331</v>
      </c>
      <c r="M119" s="71">
        <v>406.38888888888886</v>
      </c>
      <c r="N119" s="71">
        <v>455.27777777777771</v>
      </c>
      <c r="O119" s="72" t="s">
        <v>8</v>
      </c>
      <c r="P119" s="18" t="s">
        <v>108</v>
      </c>
    </row>
    <row r="120" spans="1:16" x14ac:dyDescent="0.3">
      <c r="A120" s="49" t="s">
        <v>306</v>
      </c>
      <c r="B120" s="191" t="s">
        <v>224</v>
      </c>
      <c r="C120" s="71">
        <v>2018.0555555555552</v>
      </c>
      <c r="D120" s="71">
        <v>1958.6111111111113</v>
      </c>
      <c r="E120" s="71">
        <v>2086.1111111111109</v>
      </c>
      <c r="F120" s="71">
        <v>2053.0555555555557</v>
      </c>
      <c r="G120" s="71">
        <v>2021.3888888888887</v>
      </c>
      <c r="H120" s="71">
        <v>1959.7222222222219</v>
      </c>
      <c r="I120" s="71">
        <v>2050.8333333333335</v>
      </c>
      <c r="J120" s="71">
        <v>2188.6111111111113</v>
      </c>
      <c r="K120" s="71">
        <v>2268.8888888888887</v>
      </c>
      <c r="L120" s="71">
        <v>2048.0555555555552</v>
      </c>
      <c r="M120" s="71">
        <v>2027.7777777777778</v>
      </c>
      <c r="N120" s="71">
        <v>2139.4444444444448</v>
      </c>
      <c r="O120" s="72" t="s">
        <v>8</v>
      </c>
      <c r="P120" s="18" t="s">
        <v>108</v>
      </c>
    </row>
    <row r="121" spans="1:16" x14ac:dyDescent="0.3">
      <c r="A121" s="49" t="s">
        <v>307</v>
      </c>
      <c r="B121" s="191" t="s">
        <v>224</v>
      </c>
      <c r="C121" s="71">
        <v>1211.3888888888889</v>
      </c>
      <c r="D121" s="71">
        <v>1270.2777777777778</v>
      </c>
      <c r="E121" s="71">
        <v>886.66666666666674</v>
      </c>
      <c r="F121" s="71">
        <v>958.61111111111109</v>
      </c>
      <c r="G121" s="71">
        <v>1035.8333333333333</v>
      </c>
      <c r="H121" s="71">
        <v>1266.6666666666667</v>
      </c>
      <c r="I121" s="71">
        <v>126.66666666666666</v>
      </c>
      <c r="J121" s="71">
        <v>272.77777777777777</v>
      </c>
      <c r="K121" s="71">
        <v>384.16666666666657</v>
      </c>
      <c r="L121" s="71">
        <v>161.38888888888889</v>
      </c>
      <c r="M121" s="71">
        <v>212.49999999999997</v>
      </c>
      <c r="N121" s="71">
        <v>125</v>
      </c>
      <c r="O121" s="72" t="s">
        <v>8</v>
      </c>
      <c r="P121" s="18" t="s">
        <v>108</v>
      </c>
    </row>
    <row r="122" spans="1:16" x14ac:dyDescent="0.3">
      <c r="A122" s="50" t="s">
        <v>308</v>
      </c>
      <c r="B122" s="193" t="s">
        <v>224</v>
      </c>
      <c r="C122" s="75">
        <v>6191.9444444444453</v>
      </c>
      <c r="D122" s="75">
        <v>6153.6111111111131</v>
      </c>
      <c r="E122" s="75">
        <v>5824.1666666666652</v>
      </c>
      <c r="F122" s="75">
        <v>6708.8888888888896</v>
      </c>
      <c r="G122" s="75">
        <v>5767.5</v>
      </c>
      <c r="H122" s="75">
        <v>5543.0555555555547</v>
      </c>
      <c r="I122" s="75">
        <v>4484.4444444444443</v>
      </c>
      <c r="J122" s="75">
        <v>4725.5555555555547</v>
      </c>
      <c r="K122" s="75">
        <v>4947.5</v>
      </c>
      <c r="L122" s="75">
        <v>4677.7777777777783</v>
      </c>
      <c r="M122" s="75">
        <v>4068.0555555555561</v>
      </c>
      <c r="N122" s="75">
        <v>3967.4999999999995</v>
      </c>
      <c r="O122" s="72" t="s">
        <v>8</v>
      </c>
      <c r="P122" s="18" t="s">
        <v>108</v>
      </c>
    </row>
    <row r="123" spans="1:16" x14ac:dyDescent="0.3">
      <c r="A123" s="24" t="s">
        <v>102</v>
      </c>
      <c r="B123" s="25" t="s">
        <v>103</v>
      </c>
      <c r="C123" s="87">
        <f>IFERROR((C108+C109+C110+C112+C113+C115+C116+C117+C118+C119+C120+C121)/C122,"")</f>
        <v>0.99999999999999967</v>
      </c>
      <c r="D123" s="87">
        <f t="shared" ref="D123:N123" si="3">IFERROR((D108+D109+D110+D112+D113+D115+D116+D117+D118+D119+D120+D121)/D122,"")</f>
        <v>0.99900690651379009</v>
      </c>
      <c r="E123" s="87">
        <f t="shared" si="3"/>
        <v>0.9997138360280442</v>
      </c>
      <c r="F123" s="87">
        <f t="shared" si="3"/>
        <v>1.0000414044385557</v>
      </c>
      <c r="G123" s="87">
        <f t="shared" si="3"/>
        <v>1.0000481625969271</v>
      </c>
      <c r="H123" s="87">
        <f t="shared" si="3"/>
        <v>0.99979954898521683</v>
      </c>
      <c r="I123" s="87">
        <f t="shared" si="3"/>
        <v>1.0001238850346881</v>
      </c>
      <c r="J123" s="87">
        <f t="shared" si="3"/>
        <v>1</v>
      </c>
      <c r="K123" s="87">
        <f t="shared" si="3"/>
        <v>1</v>
      </c>
      <c r="L123" s="87">
        <f t="shared" si="3"/>
        <v>0.99999999999999978</v>
      </c>
      <c r="M123" s="87">
        <f t="shared" si="3"/>
        <v>0.99986343461932381</v>
      </c>
      <c r="N123" s="87">
        <f t="shared" si="3"/>
        <v>1.0001400266050553</v>
      </c>
      <c r="O123" s="52"/>
      <c r="P123" s="52"/>
    </row>
    <row r="124" spans="1:16" x14ac:dyDescent="0.3">
      <c r="A124" s="49"/>
      <c r="B124" s="49"/>
      <c r="C124" s="87">
        <f>IFERROR((C107+C111+C114+C119+C120+C121)/C122,"")</f>
        <v>0.99999999999999967</v>
      </c>
      <c r="D124" s="87">
        <f t="shared" ref="D124:N124" si="4">IFERROR((D107+D111+D114+D119+D120+D121)/D122,"")</f>
        <v>0.99900690651379009</v>
      </c>
      <c r="E124" s="87">
        <f t="shared" si="4"/>
        <v>0.9997138360280442</v>
      </c>
      <c r="F124" s="87">
        <f t="shared" si="4"/>
        <v>1.0000414044385559</v>
      </c>
      <c r="G124" s="87">
        <f t="shared" si="4"/>
        <v>1.0000481625969271</v>
      </c>
      <c r="H124" s="87">
        <f t="shared" si="4"/>
        <v>0.99979954898521683</v>
      </c>
      <c r="I124" s="87">
        <f t="shared" si="4"/>
        <v>1.0001238850346881</v>
      </c>
      <c r="J124" s="87">
        <f t="shared" si="4"/>
        <v>1</v>
      </c>
      <c r="K124" s="87">
        <f t="shared" si="4"/>
        <v>1</v>
      </c>
      <c r="L124" s="87">
        <f t="shared" si="4"/>
        <v>0.99999999999999978</v>
      </c>
      <c r="M124" s="87">
        <f t="shared" si="4"/>
        <v>0.99986343461932381</v>
      </c>
      <c r="N124" s="87">
        <f t="shared" si="4"/>
        <v>1.0001400266050553</v>
      </c>
      <c r="O124" s="52"/>
      <c r="P124" s="52"/>
    </row>
    <row r="125" spans="1:16" ht="15.6" x14ac:dyDescent="0.3">
      <c r="A125" s="8" t="s">
        <v>309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2"/>
      <c r="P125" s="52"/>
    </row>
    <row r="126" spans="1:16" x14ac:dyDescent="0.3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2"/>
      <c r="P126" s="52"/>
    </row>
    <row r="127" spans="1:16" x14ac:dyDescent="0.3">
      <c r="A127" s="49" t="s">
        <v>310</v>
      </c>
      <c r="B127" s="191" t="s">
        <v>88</v>
      </c>
      <c r="C127" s="71">
        <v>158.05555555555554</v>
      </c>
      <c r="D127" s="71">
        <v>76.388888888888886</v>
      </c>
      <c r="E127" s="71">
        <v>88.055555555555557</v>
      </c>
      <c r="F127" s="71">
        <v>124.16666666666666</v>
      </c>
      <c r="G127" s="71">
        <v>124.16666666666666</v>
      </c>
      <c r="H127" s="71">
        <v>123.33333333333331</v>
      </c>
      <c r="I127" s="71">
        <v>136.94444444444443</v>
      </c>
      <c r="J127" s="71">
        <v>46.666666666666664</v>
      </c>
      <c r="K127" s="71">
        <v>23.611111111111111</v>
      </c>
      <c r="L127" s="71">
        <v>138.33333333333334</v>
      </c>
      <c r="M127" s="71">
        <v>104.72222222222223</v>
      </c>
      <c r="N127" s="71">
        <v>83.888888888888886</v>
      </c>
      <c r="O127" s="72"/>
      <c r="P127" s="72"/>
    </row>
    <row r="128" spans="1:16" x14ac:dyDescent="0.3">
      <c r="A128" s="64" t="s">
        <v>298</v>
      </c>
      <c r="B128" s="192" t="s">
        <v>88</v>
      </c>
      <c r="C128" s="71">
        <v>58.888888888888886</v>
      </c>
      <c r="D128" s="71">
        <v>0</v>
      </c>
      <c r="E128" s="71">
        <v>11.666666666666666</v>
      </c>
      <c r="F128" s="71">
        <v>58.888888888888886</v>
      </c>
      <c r="G128" s="71">
        <v>58.888888888888886</v>
      </c>
      <c r="H128" s="71">
        <v>46.944444444444443</v>
      </c>
      <c r="I128" s="71">
        <v>58.888888888888886</v>
      </c>
      <c r="J128" s="71">
        <v>21.666666666666668</v>
      </c>
      <c r="K128" s="71">
        <v>23.611111111111111</v>
      </c>
      <c r="L128" s="71">
        <v>45.833333333333336</v>
      </c>
      <c r="M128" s="71">
        <v>28.333333333333336</v>
      </c>
      <c r="N128" s="71">
        <v>35.277777777777779</v>
      </c>
      <c r="O128" s="72" t="s">
        <v>8</v>
      </c>
      <c r="P128" s="18" t="s">
        <v>108</v>
      </c>
    </row>
    <row r="129" spans="1:16" x14ac:dyDescent="0.3">
      <c r="A129" s="64" t="s">
        <v>110</v>
      </c>
      <c r="B129" s="192" t="s">
        <v>88</v>
      </c>
      <c r="C129" s="71">
        <v>99.166666666666657</v>
      </c>
      <c r="D129" s="71">
        <v>76.388888888888886</v>
      </c>
      <c r="E129" s="71">
        <v>76.388888888888886</v>
      </c>
      <c r="F129" s="71">
        <v>65.277777777777771</v>
      </c>
      <c r="G129" s="71">
        <v>65.277777777777771</v>
      </c>
      <c r="H129" s="71">
        <v>76.388888888888886</v>
      </c>
      <c r="I129" s="71">
        <v>65.277777777777771</v>
      </c>
      <c r="J129" s="71">
        <v>0</v>
      </c>
      <c r="K129" s="71">
        <v>0</v>
      </c>
      <c r="L129" s="71">
        <v>67.5</v>
      </c>
      <c r="M129" s="71">
        <v>66.944444444444443</v>
      </c>
      <c r="N129" s="71">
        <v>42.777777777777779</v>
      </c>
      <c r="O129" s="72" t="s">
        <v>8</v>
      </c>
      <c r="P129" s="18" t="s">
        <v>108</v>
      </c>
    </row>
    <row r="130" spans="1:16" x14ac:dyDescent="0.3">
      <c r="A130" s="64" t="s">
        <v>299</v>
      </c>
      <c r="B130" s="192" t="s">
        <v>88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12.777777777777777</v>
      </c>
      <c r="J130" s="71">
        <v>25</v>
      </c>
      <c r="K130" s="71">
        <v>0</v>
      </c>
      <c r="L130" s="71">
        <v>25</v>
      </c>
      <c r="M130" s="71">
        <v>9.4444444444444446</v>
      </c>
      <c r="N130" s="71">
        <v>5.833333333333333</v>
      </c>
      <c r="O130" s="72" t="s">
        <v>8</v>
      </c>
      <c r="P130" s="18" t="s">
        <v>108</v>
      </c>
    </row>
    <row r="131" spans="1:16" x14ac:dyDescent="0.3">
      <c r="A131" s="49" t="s">
        <v>311</v>
      </c>
      <c r="B131" s="191" t="s">
        <v>88</v>
      </c>
      <c r="C131" s="71">
        <v>305</v>
      </c>
      <c r="D131" s="71">
        <v>302.5</v>
      </c>
      <c r="E131" s="71">
        <v>256.9444444444444</v>
      </c>
      <c r="F131" s="71">
        <v>295.55555555555554</v>
      </c>
      <c r="G131" s="71">
        <v>256.9444444444444</v>
      </c>
      <c r="H131" s="71">
        <v>258.61111111111114</v>
      </c>
      <c r="I131" s="71">
        <v>280.83333333333331</v>
      </c>
      <c r="J131" s="71">
        <v>273.05555555555554</v>
      </c>
      <c r="K131" s="71">
        <v>303.05555555555554</v>
      </c>
      <c r="L131" s="71">
        <v>287.77777777777777</v>
      </c>
      <c r="M131" s="71">
        <v>352.22222222222223</v>
      </c>
      <c r="N131" s="71">
        <v>301.94444444444446</v>
      </c>
      <c r="O131" s="72"/>
      <c r="P131" s="58"/>
    </row>
    <row r="132" spans="1:16" x14ac:dyDescent="0.3">
      <c r="A132" s="64" t="s">
        <v>301</v>
      </c>
      <c r="B132" s="192" t="s">
        <v>88</v>
      </c>
      <c r="C132" s="71">
        <v>305</v>
      </c>
      <c r="D132" s="71">
        <v>302.5</v>
      </c>
      <c r="E132" s="71">
        <v>256.9444444444444</v>
      </c>
      <c r="F132" s="71">
        <v>295.55555555555554</v>
      </c>
      <c r="G132" s="71">
        <v>256.9444444444444</v>
      </c>
      <c r="H132" s="71">
        <v>258.61111111111114</v>
      </c>
      <c r="I132" s="71">
        <v>280.83333333333331</v>
      </c>
      <c r="J132" s="71">
        <v>273.05555555555554</v>
      </c>
      <c r="K132" s="71">
        <v>303.05555555555554</v>
      </c>
      <c r="L132" s="71">
        <v>287.77777777777777</v>
      </c>
      <c r="M132" s="71">
        <v>352.22222222222223</v>
      </c>
      <c r="N132" s="71">
        <v>301.94444444444446</v>
      </c>
      <c r="O132" s="72" t="s">
        <v>8</v>
      </c>
      <c r="P132" s="18" t="s">
        <v>108</v>
      </c>
    </row>
    <row r="133" spans="1:16" x14ac:dyDescent="0.3">
      <c r="A133" s="64" t="s">
        <v>302</v>
      </c>
      <c r="B133" s="192" t="s">
        <v>88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2" t="s">
        <v>8</v>
      </c>
      <c r="P133" s="18" t="s">
        <v>108</v>
      </c>
    </row>
    <row r="134" spans="1:16" x14ac:dyDescent="0.3">
      <c r="A134" s="49" t="s">
        <v>312</v>
      </c>
      <c r="B134" s="191" t="s">
        <v>88</v>
      </c>
      <c r="C134" s="71">
        <v>7.4999999999999991</v>
      </c>
      <c r="D134" s="71">
        <v>7.4999999999999991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2"/>
      <c r="P134" s="58"/>
    </row>
    <row r="135" spans="1:16" x14ac:dyDescent="0.3">
      <c r="A135" s="64" t="s">
        <v>114</v>
      </c>
      <c r="B135" s="192" t="s">
        <v>88</v>
      </c>
      <c r="C135" s="71">
        <v>7.4999999999999991</v>
      </c>
      <c r="D135" s="71">
        <v>7.4999999999999991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2" t="s">
        <v>8</v>
      </c>
      <c r="P135" s="18" t="s">
        <v>108</v>
      </c>
    </row>
    <row r="136" spans="1:16" x14ac:dyDescent="0.3">
      <c r="A136" s="64" t="s">
        <v>313</v>
      </c>
      <c r="B136" s="192" t="s">
        <v>88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2" t="s">
        <v>8</v>
      </c>
      <c r="P136" s="18" t="s">
        <v>108</v>
      </c>
    </row>
    <row r="137" spans="1:16" x14ac:dyDescent="0.3">
      <c r="A137" s="64" t="s">
        <v>116</v>
      </c>
      <c r="B137" s="192" t="s">
        <v>88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2" t="s">
        <v>8</v>
      </c>
      <c r="P137" s="18" t="s">
        <v>108</v>
      </c>
    </row>
    <row r="138" spans="1:16" x14ac:dyDescent="0.3">
      <c r="A138" s="64" t="s">
        <v>117</v>
      </c>
      <c r="B138" s="192" t="s">
        <v>88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2" t="s">
        <v>8</v>
      </c>
      <c r="P138" s="18" t="s">
        <v>108</v>
      </c>
    </row>
    <row r="139" spans="1:16" x14ac:dyDescent="0.3">
      <c r="A139" s="49" t="s">
        <v>314</v>
      </c>
      <c r="B139" s="191" t="s">
        <v>88</v>
      </c>
      <c r="C139" s="71">
        <v>54.444444444444443</v>
      </c>
      <c r="D139" s="71">
        <v>59.166666666666664</v>
      </c>
      <c r="E139" s="71">
        <v>34.166666666666664</v>
      </c>
      <c r="F139" s="71">
        <v>30.833333333333332</v>
      </c>
      <c r="G139" s="71">
        <v>31.666666666666664</v>
      </c>
      <c r="H139" s="71">
        <v>38.333333333333336</v>
      </c>
      <c r="I139" s="71">
        <v>38.888888888888886</v>
      </c>
      <c r="J139" s="71">
        <v>35.277777777777779</v>
      </c>
      <c r="K139" s="71">
        <v>33.611111111111107</v>
      </c>
      <c r="L139" s="71">
        <v>30.555555555555554</v>
      </c>
      <c r="M139" s="71">
        <v>34.722222222222221</v>
      </c>
      <c r="N139" s="71">
        <v>30.277777777777782</v>
      </c>
      <c r="O139" s="72" t="s">
        <v>8</v>
      </c>
      <c r="P139" s="18" t="s">
        <v>108</v>
      </c>
    </row>
    <row r="140" spans="1:16" x14ac:dyDescent="0.3">
      <c r="A140" s="49" t="s">
        <v>315</v>
      </c>
      <c r="B140" s="191" t="s">
        <v>88</v>
      </c>
      <c r="C140" s="71">
        <v>278.05555555555554</v>
      </c>
      <c r="D140" s="71">
        <v>265</v>
      </c>
      <c r="E140" s="71">
        <v>321.11111111111109</v>
      </c>
      <c r="F140" s="71">
        <v>288.05555555555554</v>
      </c>
      <c r="G140" s="71">
        <v>318.05555555555554</v>
      </c>
      <c r="H140" s="71">
        <v>321.11111111111109</v>
      </c>
      <c r="I140" s="71">
        <v>320</v>
      </c>
      <c r="J140" s="71">
        <v>308.88888888888886</v>
      </c>
      <c r="K140" s="71">
        <v>290</v>
      </c>
      <c r="L140" s="71">
        <v>297.5</v>
      </c>
      <c r="M140" s="71">
        <v>310</v>
      </c>
      <c r="N140" s="71">
        <v>335.83333333333331</v>
      </c>
      <c r="O140" s="72" t="s">
        <v>8</v>
      </c>
      <c r="P140" s="18" t="s">
        <v>108</v>
      </c>
    </row>
    <row r="141" spans="1:16" x14ac:dyDescent="0.3">
      <c r="A141" s="49" t="s">
        <v>316</v>
      </c>
      <c r="B141" s="191" t="s">
        <v>88</v>
      </c>
      <c r="C141" s="71">
        <v>4.4444444444444446</v>
      </c>
      <c r="D141" s="71">
        <v>4.166666666666667</v>
      </c>
      <c r="E141" s="71">
        <v>5</v>
      </c>
      <c r="F141" s="71">
        <v>5.833333333333333</v>
      </c>
      <c r="G141" s="71">
        <v>7.4999999999999991</v>
      </c>
      <c r="H141" s="71">
        <v>8.3333333333333339</v>
      </c>
      <c r="I141" s="71">
        <v>2.2222222222222223</v>
      </c>
      <c r="J141" s="71">
        <v>4.4444444444444446</v>
      </c>
      <c r="K141" s="71">
        <v>5.5555555555555554</v>
      </c>
      <c r="L141" s="71">
        <v>8.6111111111111107</v>
      </c>
      <c r="M141" s="71">
        <v>22.5</v>
      </c>
      <c r="N141" s="71">
        <v>16.388888888888889</v>
      </c>
      <c r="O141" s="72" t="s">
        <v>8</v>
      </c>
      <c r="P141" s="18" t="s">
        <v>108</v>
      </c>
    </row>
    <row r="142" spans="1:16" x14ac:dyDescent="0.3">
      <c r="A142" s="50" t="s">
        <v>317</v>
      </c>
      <c r="B142" s="193" t="s">
        <v>88</v>
      </c>
      <c r="C142" s="75">
        <v>807.50000000000011</v>
      </c>
      <c r="D142" s="75">
        <v>714.72222222222217</v>
      </c>
      <c r="E142" s="75">
        <v>705.27777777777771</v>
      </c>
      <c r="F142" s="75">
        <v>744.44444444444457</v>
      </c>
      <c r="G142" s="75">
        <v>738.33333333333314</v>
      </c>
      <c r="H142" s="75">
        <v>749.72222222222206</v>
      </c>
      <c r="I142" s="75">
        <v>778.88888888888869</v>
      </c>
      <c r="J142" s="75">
        <v>668.33333333333337</v>
      </c>
      <c r="K142" s="75">
        <v>655.83333333333337</v>
      </c>
      <c r="L142" s="75">
        <v>762.77777777777794</v>
      </c>
      <c r="M142" s="75">
        <v>824.16666666666663</v>
      </c>
      <c r="N142" s="75">
        <v>768.33333333333314</v>
      </c>
      <c r="O142" s="72" t="s">
        <v>8</v>
      </c>
      <c r="P142" s="18" t="s">
        <v>108</v>
      </c>
    </row>
    <row r="143" spans="1:16" x14ac:dyDescent="0.3">
      <c r="A143" s="24" t="s">
        <v>102</v>
      </c>
      <c r="B143" s="25" t="s">
        <v>103</v>
      </c>
      <c r="C143" s="31">
        <f t="shared" ref="C143:N143" si="5">IFERROR((C128+C129+C130+C132+C133+C135+C136+C137+C138+C139+C140+C141)/C142,"")</f>
        <v>0.99999999999999989</v>
      </c>
      <c r="D143" s="31">
        <f t="shared" si="5"/>
        <v>1.0000000000000002</v>
      </c>
      <c r="E143" s="31">
        <f t="shared" si="5"/>
        <v>1</v>
      </c>
      <c r="F143" s="31">
        <f t="shared" si="5"/>
        <v>0.99999999999999989</v>
      </c>
      <c r="G143" s="31">
        <f t="shared" si="5"/>
        <v>1.0000000000000002</v>
      </c>
      <c r="H143" s="31">
        <f t="shared" si="5"/>
        <v>1.0000000000000002</v>
      </c>
      <c r="I143" s="31">
        <f t="shared" si="5"/>
        <v>1.0000000000000002</v>
      </c>
      <c r="J143" s="31">
        <f t="shared" si="5"/>
        <v>1</v>
      </c>
      <c r="K143" s="31">
        <f t="shared" si="5"/>
        <v>0.99999999999999978</v>
      </c>
      <c r="L143" s="31">
        <f t="shared" si="5"/>
        <v>0.99999999999999967</v>
      </c>
      <c r="M143" s="31">
        <f t="shared" si="5"/>
        <v>1.0000000000000002</v>
      </c>
      <c r="N143" s="31">
        <f t="shared" si="5"/>
        <v>1.0000000000000002</v>
      </c>
      <c r="O143" s="25"/>
      <c r="P143" s="52"/>
    </row>
    <row r="144" spans="1:16" x14ac:dyDescent="0.3">
      <c r="A144" s="24"/>
      <c r="B144" s="25"/>
      <c r="C144" s="31">
        <f t="shared" ref="C144:N144" si="6">IFERROR((C127+C131+C134+C139+C140+C141)/C142,"")</f>
        <v>0.99999999999999989</v>
      </c>
      <c r="D144" s="31">
        <f t="shared" si="6"/>
        <v>1.0000000000000002</v>
      </c>
      <c r="E144" s="31">
        <f t="shared" si="6"/>
        <v>1</v>
      </c>
      <c r="F144" s="31">
        <f t="shared" si="6"/>
        <v>0.99999999999999989</v>
      </c>
      <c r="G144" s="31">
        <f t="shared" si="6"/>
        <v>1.0000000000000002</v>
      </c>
      <c r="H144" s="31">
        <f t="shared" si="6"/>
        <v>1.0000000000000002</v>
      </c>
      <c r="I144" s="31">
        <f t="shared" si="6"/>
        <v>1.0000000000000002</v>
      </c>
      <c r="J144" s="31">
        <f t="shared" si="6"/>
        <v>1</v>
      </c>
      <c r="K144" s="31">
        <f t="shared" si="6"/>
        <v>0.99999999999999978</v>
      </c>
      <c r="L144" s="31">
        <f t="shared" si="6"/>
        <v>0.99999999999999967</v>
      </c>
      <c r="M144" s="31">
        <f t="shared" si="6"/>
        <v>1.0000000000000002</v>
      </c>
      <c r="N144" s="31">
        <f t="shared" si="6"/>
        <v>1.0000000000000002</v>
      </c>
      <c r="O144" s="25"/>
      <c r="P144" s="52"/>
    </row>
    <row r="145" spans="1:16" ht="15.6" x14ac:dyDescent="0.3">
      <c r="A145" s="8" t="s">
        <v>318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52"/>
    </row>
    <row r="146" spans="1:16" x14ac:dyDescent="0.3">
      <c r="A146" s="49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52"/>
    </row>
    <row r="147" spans="1:16" x14ac:dyDescent="0.3">
      <c r="A147" s="49" t="s">
        <v>319</v>
      </c>
      <c r="B147" s="191" t="s">
        <v>224</v>
      </c>
      <c r="C147" s="71">
        <v>0</v>
      </c>
      <c r="D147" s="71">
        <v>11.63</v>
      </c>
      <c r="E147" s="71">
        <v>11.63</v>
      </c>
      <c r="F147" s="71">
        <v>11.63</v>
      </c>
      <c r="G147" s="71">
        <v>10.894444444444444</v>
      </c>
      <c r="H147" s="71">
        <v>10.894444444444444</v>
      </c>
      <c r="I147" s="71">
        <v>10.894444444444444</v>
      </c>
      <c r="J147" s="71">
        <v>0</v>
      </c>
      <c r="K147" s="71">
        <v>0</v>
      </c>
      <c r="L147" s="71">
        <v>13.555555555555557</v>
      </c>
      <c r="M147" s="71">
        <v>19.444444444444443</v>
      </c>
      <c r="N147" s="71">
        <v>6.9444444444444446</v>
      </c>
      <c r="O147" s="72"/>
      <c r="P147" s="52"/>
    </row>
    <row r="148" spans="1:16" x14ac:dyDescent="0.3">
      <c r="A148" s="64" t="s">
        <v>298</v>
      </c>
      <c r="B148" s="191" t="s">
        <v>224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0.55555555555555558</v>
      </c>
      <c r="N148" s="71">
        <v>0</v>
      </c>
      <c r="O148" s="72" t="s">
        <v>8</v>
      </c>
      <c r="P148" s="18" t="s">
        <v>108</v>
      </c>
    </row>
    <row r="149" spans="1:16" x14ac:dyDescent="0.3">
      <c r="A149" s="64" t="s">
        <v>110</v>
      </c>
      <c r="B149" s="191" t="s">
        <v>224</v>
      </c>
      <c r="C149" s="71">
        <v>0</v>
      </c>
      <c r="D149" s="71">
        <v>10.894444444444444</v>
      </c>
      <c r="E149" s="71">
        <v>10.894444444444444</v>
      </c>
      <c r="F149" s="71">
        <v>10.894444444444444</v>
      </c>
      <c r="G149" s="71">
        <v>10.894444444444444</v>
      </c>
      <c r="H149" s="71">
        <v>10.894444444444444</v>
      </c>
      <c r="I149" s="71">
        <v>10.894444444444444</v>
      </c>
      <c r="J149" s="71">
        <v>0</v>
      </c>
      <c r="K149" s="71">
        <v>0</v>
      </c>
      <c r="L149" s="71">
        <v>11.027777777777779</v>
      </c>
      <c r="M149" s="71">
        <v>18.888888888888889</v>
      </c>
      <c r="N149" s="71">
        <v>5.5555555555555554</v>
      </c>
      <c r="O149" s="72" t="s">
        <v>8</v>
      </c>
      <c r="P149" s="18" t="s">
        <v>108</v>
      </c>
    </row>
    <row r="150" spans="1:16" x14ac:dyDescent="0.3">
      <c r="A150" s="64" t="s">
        <v>299</v>
      </c>
      <c r="B150" s="191" t="s">
        <v>224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2.5277777777777777</v>
      </c>
      <c r="M150" s="71">
        <v>0</v>
      </c>
      <c r="N150" s="71">
        <v>1.3888888888888888</v>
      </c>
      <c r="O150" s="72" t="s">
        <v>8</v>
      </c>
      <c r="P150" s="18" t="s">
        <v>108</v>
      </c>
    </row>
    <row r="151" spans="1:16" x14ac:dyDescent="0.3">
      <c r="A151" s="49" t="s">
        <v>320</v>
      </c>
      <c r="B151" s="191" t="s">
        <v>224</v>
      </c>
      <c r="C151" s="71">
        <v>42.239021174592345</v>
      </c>
      <c r="D151" s="71">
        <v>25.993243799749131</v>
      </c>
      <c r="E151" s="71">
        <v>26.243178836285182</v>
      </c>
      <c r="F151" s="71">
        <v>25.24343869014098</v>
      </c>
      <c r="G151" s="71">
        <v>26.243178836285182</v>
      </c>
      <c r="H151" s="71">
        <v>22.494153288244441</v>
      </c>
      <c r="I151" s="71">
        <v>27.992724092037527</v>
      </c>
      <c r="J151" s="71">
        <v>24.493633580532844</v>
      </c>
      <c r="K151" s="71">
        <v>22.038521716639227</v>
      </c>
      <c r="L151" s="71">
        <v>18.245257667131607</v>
      </c>
      <c r="M151" s="71">
        <v>1.1111111111111112</v>
      </c>
      <c r="N151" s="71">
        <v>26.388888888888889</v>
      </c>
      <c r="O151" s="72"/>
      <c r="P151" s="58"/>
    </row>
    <row r="152" spans="1:16" x14ac:dyDescent="0.3">
      <c r="A152" s="64" t="s">
        <v>301</v>
      </c>
      <c r="B152" s="191" t="s">
        <v>224</v>
      </c>
      <c r="C152" s="71">
        <v>42.239021174592345</v>
      </c>
      <c r="D152" s="71">
        <v>25.993243799749131</v>
      </c>
      <c r="E152" s="71">
        <v>26.243178836285182</v>
      </c>
      <c r="F152" s="71">
        <v>25.24343869014098</v>
      </c>
      <c r="G152" s="71">
        <v>26.243178836285182</v>
      </c>
      <c r="H152" s="71">
        <v>22.494153288244441</v>
      </c>
      <c r="I152" s="71">
        <v>27.992724092037527</v>
      </c>
      <c r="J152" s="71">
        <v>24.493633580532844</v>
      </c>
      <c r="K152" s="71">
        <v>22.038521716639227</v>
      </c>
      <c r="L152" s="71">
        <v>18.245257667131607</v>
      </c>
      <c r="M152" s="71">
        <v>1.1111111111111112</v>
      </c>
      <c r="N152" s="71">
        <v>26.388888888888889</v>
      </c>
      <c r="O152" s="72" t="s">
        <v>8</v>
      </c>
      <c r="P152" s="18" t="s">
        <v>108</v>
      </c>
    </row>
    <row r="153" spans="1:16" x14ac:dyDescent="0.3">
      <c r="A153" s="64" t="s">
        <v>302</v>
      </c>
      <c r="B153" s="191" t="s">
        <v>224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2" t="s">
        <v>8</v>
      </c>
      <c r="P153" s="18" t="s">
        <v>108</v>
      </c>
    </row>
    <row r="154" spans="1:16" x14ac:dyDescent="0.3">
      <c r="A154" s="49" t="s">
        <v>321</v>
      </c>
      <c r="B154" s="191" t="s">
        <v>224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2"/>
      <c r="P154" s="58"/>
    </row>
    <row r="155" spans="1:16" x14ac:dyDescent="0.3">
      <c r="A155" s="64" t="s">
        <v>114</v>
      </c>
      <c r="B155" s="191" t="s">
        <v>224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2" t="s">
        <v>8</v>
      </c>
      <c r="P155" s="18" t="s">
        <v>108</v>
      </c>
    </row>
    <row r="156" spans="1:16" x14ac:dyDescent="0.3">
      <c r="A156" s="64" t="s">
        <v>313</v>
      </c>
      <c r="B156" s="191" t="s">
        <v>224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2" t="s">
        <v>8</v>
      </c>
      <c r="P156" s="18" t="s">
        <v>108</v>
      </c>
    </row>
    <row r="157" spans="1:16" x14ac:dyDescent="0.3">
      <c r="A157" s="64" t="s">
        <v>116</v>
      </c>
      <c r="B157" s="191" t="s">
        <v>224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2" t="s">
        <v>8</v>
      </c>
      <c r="P157" s="18" t="s">
        <v>108</v>
      </c>
    </row>
    <row r="158" spans="1:16" x14ac:dyDescent="0.3">
      <c r="A158" s="64" t="s">
        <v>117</v>
      </c>
      <c r="B158" s="191" t="s">
        <v>224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2" t="s">
        <v>8</v>
      </c>
      <c r="P158" s="18" t="s">
        <v>108</v>
      </c>
    </row>
    <row r="159" spans="1:16" x14ac:dyDescent="0.3">
      <c r="A159" s="49" t="s">
        <v>322</v>
      </c>
      <c r="B159" s="191" t="s">
        <v>224</v>
      </c>
      <c r="C159" s="71">
        <v>63.055555555555557</v>
      </c>
      <c r="D159" s="71">
        <v>25.833333333333329</v>
      </c>
      <c r="E159" s="71">
        <v>26.111111111111114</v>
      </c>
      <c r="F159" s="71">
        <v>13.333333333333332</v>
      </c>
      <c r="G159" s="71">
        <v>17.5</v>
      </c>
      <c r="H159" s="71">
        <v>19.444444444444443</v>
      </c>
      <c r="I159" s="71">
        <v>18.888888888888889</v>
      </c>
      <c r="J159" s="71">
        <v>18.055555555555554</v>
      </c>
      <c r="K159" s="71">
        <v>17.78227</v>
      </c>
      <c r="L159" s="71">
        <v>18.245257667131607</v>
      </c>
      <c r="M159" s="71">
        <v>59.444444444444443</v>
      </c>
      <c r="N159" s="71">
        <v>18.888888888888889</v>
      </c>
      <c r="O159" s="72" t="s">
        <v>8</v>
      </c>
      <c r="P159" s="18" t="s">
        <v>108</v>
      </c>
    </row>
    <row r="160" spans="1:16" x14ac:dyDescent="0.3">
      <c r="A160" s="49" t="s">
        <v>323</v>
      </c>
      <c r="B160" s="191" t="s">
        <v>224</v>
      </c>
      <c r="C160" s="71">
        <v>123.00000000000001</v>
      </c>
      <c r="D160" s="71">
        <v>124</v>
      </c>
      <c r="E160" s="71">
        <v>118</v>
      </c>
      <c r="F160" s="71">
        <v>111</v>
      </c>
      <c r="G160" s="71">
        <v>115</v>
      </c>
      <c r="H160" s="71">
        <v>98.000000000000014</v>
      </c>
      <c r="I160" s="71">
        <v>74.000000000000014</v>
      </c>
      <c r="J160" s="71">
        <v>57.999999999999993</v>
      </c>
      <c r="K160" s="71">
        <v>60.999350000000007</v>
      </c>
      <c r="L160" s="71">
        <v>53</v>
      </c>
      <c r="M160" s="71">
        <v>19.444444444444443</v>
      </c>
      <c r="N160" s="71">
        <v>74.166666666666671</v>
      </c>
      <c r="O160" s="72" t="s">
        <v>8</v>
      </c>
      <c r="P160" s="18" t="s">
        <v>108</v>
      </c>
    </row>
    <row r="161" spans="1:16" x14ac:dyDescent="0.3">
      <c r="A161" s="49" t="s">
        <v>324</v>
      </c>
      <c r="B161" s="191" t="s">
        <v>224</v>
      </c>
      <c r="C161" s="71">
        <v>2.7777777777777777</v>
      </c>
      <c r="D161" s="71">
        <v>2.7777777777777777</v>
      </c>
      <c r="E161" s="71">
        <v>2.5</v>
      </c>
      <c r="F161" s="71">
        <v>1.6666666666666665</v>
      </c>
      <c r="G161" s="71">
        <v>2.5</v>
      </c>
      <c r="H161" s="71">
        <v>3.333333333333333</v>
      </c>
      <c r="I161" s="71">
        <v>0.83333333333333326</v>
      </c>
      <c r="J161" s="71">
        <v>1.6666666666666665</v>
      </c>
      <c r="K161" s="71">
        <v>1.3956</v>
      </c>
      <c r="L161" s="71">
        <v>1.4444444444444444</v>
      </c>
      <c r="M161" s="71">
        <v>1.1111111111111112</v>
      </c>
      <c r="N161" s="71">
        <v>1.1111111111111112</v>
      </c>
      <c r="O161" s="72" t="s">
        <v>8</v>
      </c>
      <c r="P161" s="18" t="s">
        <v>108</v>
      </c>
    </row>
    <row r="162" spans="1:16" x14ac:dyDescent="0.3">
      <c r="A162" s="50" t="s">
        <v>325</v>
      </c>
      <c r="B162" s="193" t="s">
        <v>224</v>
      </c>
      <c r="C162" s="75">
        <v>231.08810000000003</v>
      </c>
      <c r="D162" s="75">
        <v>189.51085000000003</v>
      </c>
      <c r="E162" s="75">
        <v>183.75399999999999</v>
      </c>
      <c r="F162" s="75">
        <v>162.14545999999999</v>
      </c>
      <c r="G162" s="75">
        <v>172.14725999999999</v>
      </c>
      <c r="H162" s="75">
        <v>154.16728000000001</v>
      </c>
      <c r="I162" s="75">
        <v>132.61689000000001</v>
      </c>
      <c r="J162" s="75">
        <v>102.2277</v>
      </c>
      <c r="K162" s="75">
        <v>102.21606999999999</v>
      </c>
      <c r="L162" s="75">
        <v>104.85636877824274</v>
      </c>
      <c r="M162" s="75">
        <v>100.55555555555556</v>
      </c>
      <c r="N162" s="75">
        <v>127.22222222222221</v>
      </c>
      <c r="O162" s="72" t="s">
        <v>8</v>
      </c>
      <c r="P162" s="18" t="s">
        <v>108</v>
      </c>
    </row>
    <row r="163" spans="1:16" x14ac:dyDescent="0.3">
      <c r="A163" s="24" t="s">
        <v>102</v>
      </c>
      <c r="B163" s="25" t="s">
        <v>103</v>
      </c>
      <c r="C163" s="87">
        <f>IFERROR((C148+C149+C150+C152+C153+C155+C156+C157+C158+C159+C160+C161)/C162,"")</f>
        <v>0.99993186368283637</v>
      </c>
      <c r="D163" s="87">
        <f t="shared" ref="D163:N163" si="7">IFERROR((D148+D149+D150+D152+D153+D155+D156+D157+D158+D159+D160+D161)/D162,"")</f>
        <v>0.99993641184821147</v>
      </c>
      <c r="E163" s="87">
        <f t="shared" si="7"/>
        <v>0.99997134425286394</v>
      </c>
      <c r="F163" s="87">
        <f t="shared" si="7"/>
        <v>0.9999532711836977</v>
      </c>
      <c r="G163" s="87">
        <f t="shared" si="7"/>
        <v>0.99994402048995512</v>
      </c>
      <c r="H163" s="87">
        <f t="shared" si="7"/>
        <v>0.99999413306420581</v>
      </c>
      <c r="I163" s="87">
        <f t="shared" si="7"/>
        <v>0.99994345183863242</v>
      </c>
      <c r="J163" s="87">
        <f t="shared" si="7"/>
        <v>0.99988413906167373</v>
      </c>
      <c r="K163" s="87">
        <f t="shared" si="7"/>
        <v>0.99999678833904726</v>
      </c>
      <c r="L163" s="87">
        <f t="shared" si="7"/>
        <v>0.99651090870070791</v>
      </c>
      <c r="M163" s="87">
        <f t="shared" si="7"/>
        <v>1</v>
      </c>
      <c r="N163" s="87">
        <f t="shared" si="7"/>
        <v>1.0021834061135373</v>
      </c>
      <c r="O163" s="72"/>
      <c r="P163" s="52"/>
    </row>
    <row r="164" spans="1:16" x14ac:dyDescent="0.3">
      <c r="A164" s="49"/>
      <c r="B164" s="49"/>
      <c r="C164" s="87">
        <f>IFERROR((C147+C151+C154+C159+C160+C161)/C162,"")</f>
        <v>0.99993186368283637</v>
      </c>
      <c r="D164" s="87">
        <f t="shared" ref="D164:N164" si="8">IFERROR((D147+D151+D154+D159+D160+D161)/D162,"")</f>
        <v>1.0038177492785252</v>
      </c>
      <c r="E164" s="87">
        <f t="shared" si="8"/>
        <v>1.0039742805457095</v>
      </c>
      <c r="F164" s="87">
        <f t="shared" si="8"/>
        <v>1.0044896643429979</v>
      </c>
      <c r="G164" s="87">
        <f t="shared" si="8"/>
        <v>0.99994402048995512</v>
      </c>
      <c r="H164" s="87">
        <f t="shared" si="8"/>
        <v>0.99999413306420581</v>
      </c>
      <c r="I164" s="87">
        <f t="shared" si="8"/>
        <v>0.99994345183863242</v>
      </c>
      <c r="J164" s="87">
        <f t="shared" si="8"/>
        <v>0.99988413906167373</v>
      </c>
      <c r="K164" s="87">
        <f t="shared" si="8"/>
        <v>0.99999678833904726</v>
      </c>
      <c r="L164" s="87">
        <f t="shared" si="8"/>
        <v>0.99651090870070791</v>
      </c>
      <c r="M164" s="87">
        <f t="shared" si="8"/>
        <v>1</v>
      </c>
      <c r="N164" s="87">
        <f t="shared" si="8"/>
        <v>1.0021834061135373</v>
      </c>
      <c r="O164" s="72"/>
      <c r="P164" s="52"/>
    </row>
    <row r="165" spans="1:16" ht="15.6" x14ac:dyDescent="0.3">
      <c r="A165" s="8" t="s">
        <v>326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72"/>
      <c r="P165" s="52"/>
    </row>
    <row r="166" spans="1:16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72"/>
      <c r="P166" s="52"/>
    </row>
    <row r="167" spans="1:16" x14ac:dyDescent="0.3">
      <c r="A167" s="49" t="s">
        <v>327</v>
      </c>
      <c r="B167" s="191" t="s">
        <v>224</v>
      </c>
      <c r="C167" s="71">
        <v>46.277777777777779</v>
      </c>
      <c r="D167" s="71">
        <v>70.5</v>
      </c>
      <c r="E167" s="71">
        <v>70.5</v>
      </c>
      <c r="F167" s="71">
        <v>70.5</v>
      </c>
      <c r="G167" s="71">
        <v>57.038888888888877</v>
      </c>
      <c r="H167" s="71">
        <v>68.788888888888877</v>
      </c>
      <c r="I167" s="71">
        <v>67.933333333333337</v>
      </c>
      <c r="J167" s="71">
        <v>46.999999999999993</v>
      </c>
      <c r="K167" s="71">
        <v>23.499999999999996</v>
      </c>
      <c r="L167" s="71">
        <v>80.061111111111103</v>
      </c>
      <c r="M167" s="71">
        <v>121.66666666666669</v>
      </c>
      <c r="N167" s="71">
        <v>86.111111111111114</v>
      </c>
      <c r="O167" s="72"/>
      <c r="P167" s="52"/>
    </row>
    <row r="168" spans="1:16" x14ac:dyDescent="0.3">
      <c r="A168" s="64" t="s">
        <v>298</v>
      </c>
      <c r="B168" s="191" t="s">
        <v>224</v>
      </c>
      <c r="C168" s="71">
        <v>35.25</v>
      </c>
      <c r="D168" s="71">
        <v>70.5</v>
      </c>
      <c r="E168" s="71">
        <v>70.5</v>
      </c>
      <c r="F168" s="71">
        <v>70.5</v>
      </c>
      <c r="G168" s="71">
        <v>35.25</v>
      </c>
      <c r="H168" s="71">
        <v>46.999999999999993</v>
      </c>
      <c r="I168" s="71">
        <v>35.25</v>
      </c>
      <c r="J168" s="71">
        <v>46.999999999999993</v>
      </c>
      <c r="K168" s="71">
        <v>23.499999999999996</v>
      </c>
      <c r="L168" s="71">
        <v>38.774999999999999</v>
      </c>
      <c r="M168" s="71">
        <v>11.388888888888889</v>
      </c>
      <c r="N168" s="71">
        <v>23.611111111111111</v>
      </c>
      <c r="O168" s="72" t="s">
        <v>8</v>
      </c>
      <c r="P168" s="18" t="s">
        <v>108</v>
      </c>
    </row>
    <row r="169" spans="1:16" x14ac:dyDescent="0.3">
      <c r="A169" s="64" t="s">
        <v>110</v>
      </c>
      <c r="B169" s="191" t="s">
        <v>224</v>
      </c>
      <c r="C169" s="71">
        <v>11.027777777777779</v>
      </c>
      <c r="D169" s="71">
        <v>0</v>
      </c>
      <c r="E169" s="71">
        <v>0</v>
      </c>
      <c r="F169" s="71">
        <v>0</v>
      </c>
      <c r="G169" s="71">
        <v>21.788888888888888</v>
      </c>
      <c r="H169" s="71">
        <v>21.788888888888888</v>
      </c>
      <c r="I169" s="71">
        <v>32.68333333333333</v>
      </c>
      <c r="J169" s="71">
        <v>0</v>
      </c>
      <c r="K169" s="71">
        <v>0</v>
      </c>
      <c r="L169" s="71">
        <v>37.49444444444444</v>
      </c>
      <c r="M169" s="71">
        <v>86.944444444444443</v>
      </c>
      <c r="N169" s="71">
        <v>56.1111111111111</v>
      </c>
      <c r="O169" s="72" t="s">
        <v>8</v>
      </c>
      <c r="P169" s="18" t="s">
        <v>108</v>
      </c>
    </row>
    <row r="170" spans="1:16" x14ac:dyDescent="0.3">
      <c r="A170" s="64" t="s">
        <v>299</v>
      </c>
      <c r="B170" s="191" t="s">
        <v>224</v>
      </c>
      <c r="C170" s="71">
        <v>0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3.7916666666666665</v>
      </c>
      <c r="M170" s="71">
        <v>23.333333333333332</v>
      </c>
      <c r="N170" s="71">
        <v>6.3888888888888884</v>
      </c>
      <c r="O170" s="72" t="s">
        <v>8</v>
      </c>
      <c r="P170" s="18" t="s">
        <v>108</v>
      </c>
    </row>
    <row r="171" spans="1:16" x14ac:dyDescent="0.3">
      <c r="A171" s="49" t="s">
        <v>328</v>
      </c>
      <c r="B171" s="191" t="s">
        <v>224</v>
      </c>
      <c r="C171" s="71">
        <v>104.25131999999999</v>
      </c>
      <c r="D171" s="71">
        <v>89.248620000000017</v>
      </c>
      <c r="E171" s="71">
        <v>83.247540000000001</v>
      </c>
      <c r="F171" s="71">
        <v>87.248259999999988</v>
      </c>
      <c r="G171" s="71">
        <v>94.249520000000004</v>
      </c>
      <c r="H171" s="71">
        <v>93.505200000000002</v>
      </c>
      <c r="I171" s="71">
        <v>111.49681</v>
      </c>
      <c r="J171" s="71">
        <v>109.99654</v>
      </c>
      <c r="K171" s="71">
        <v>110</v>
      </c>
      <c r="L171" s="71">
        <v>143.96258104476442</v>
      </c>
      <c r="M171" s="71">
        <v>136.94444444444443</v>
      </c>
      <c r="N171" s="71">
        <v>122.5</v>
      </c>
      <c r="O171" s="72"/>
      <c r="P171" s="58"/>
    </row>
    <row r="172" spans="1:16" x14ac:dyDescent="0.3">
      <c r="A172" s="64" t="s">
        <v>301</v>
      </c>
      <c r="B172" s="191" t="s">
        <v>224</v>
      </c>
      <c r="C172" s="71">
        <v>104.25131999999999</v>
      </c>
      <c r="D172" s="71">
        <v>89.248620000000017</v>
      </c>
      <c r="E172" s="71">
        <v>83.247540000000001</v>
      </c>
      <c r="F172" s="71">
        <v>87.248259999999988</v>
      </c>
      <c r="G172" s="71">
        <v>94.249520000000004</v>
      </c>
      <c r="H172" s="71">
        <v>93.505200000000002</v>
      </c>
      <c r="I172" s="71">
        <v>111.49681</v>
      </c>
      <c r="J172" s="71">
        <v>109.99654</v>
      </c>
      <c r="K172" s="71">
        <v>110</v>
      </c>
      <c r="L172" s="71">
        <v>143.96258104476442</v>
      </c>
      <c r="M172" s="71">
        <v>136.94444444444443</v>
      </c>
      <c r="N172" s="71">
        <v>122.5</v>
      </c>
      <c r="O172" s="72" t="s">
        <v>8</v>
      </c>
      <c r="P172" s="18" t="s">
        <v>108</v>
      </c>
    </row>
    <row r="173" spans="1:16" x14ac:dyDescent="0.3">
      <c r="A173" s="64" t="s">
        <v>302</v>
      </c>
      <c r="B173" s="191" t="s">
        <v>224</v>
      </c>
      <c r="C173" s="71">
        <v>0</v>
      </c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2" t="s">
        <v>8</v>
      </c>
      <c r="P173" s="18" t="s">
        <v>108</v>
      </c>
    </row>
    <row r="174" spans="1:16" x14ac:dyDescent="0.3">
      <c r="A174" s="49" t="s">
        <v>329</v>
      </c>
      <c r="B174" s="191" t="s">
        <v>224</v>
      </c>
      <c r="C174" s="71">
        <v>0</v>
      </c>
      <c r="D174" s="71">
        <v>0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0</v>
      </c>
      <c r="M174" s="71">
        <v>0</v>
      </c>
      <c r="N174" s="71">
        <v>0</v>
      </c>
      <c r="O174" s="72"/>
      <c r="P174" s="58"/>
    </row>
    <row r="175" spans="1:16" x14ac:dyDescent="0.3">
      <c r="A175" s="64" t="s">
        <v>114</v>
      </c>
      <c r="B175" s="191" t="s">
        <v>224</v>
      </c>
      <c r="C175" s="71">
        <v>0</v>
      </c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2" t="s">
        <v>8</v>
      </c>
      <c r="P175" s="18" t="s">
        <v>108</v>
      </c>
    </row>
    <row r="176" spans="1:16" x14ac:dyDescent="0.3">
      <c r="A176" s="64" t="s">
        <v>313</v>
      </c>
      <c r="B176" s="191" t="s">
        <v>224</v>
      </c>
      <c r="C176" s="71">
        <v>0</v>
      </c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2" t="s">
        <v>8</v>
      </c>
      <c r="P176" s="18" t="s">
        <v>108</v>
      </c>
    </row>
    <row r="177" spans="1:16" x14ac:dyDescent="0.3">
      <c r="A177" s="64" t="s">
        <v>116</v>
      </c>
      <c r="B177" s="191" t="s">
        <v>224</v>
      </c>
      <c r="C177" s="71">
        <v>0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2" t="s">
        <v>8</v>
      </c>
      <c r="P177" s="18" t="s">
        <v>108</v>
      </c>
    </row>
    <row r="178" spans="1:16" x14ac:dyDescent="0.3">
      <c r="A178" s="64" t="s">
        <v>117</v>
      </c>
      <c r="B178" s="191" t="s">
        <v>224</v>
      </c>
      <c r="C178" s="71">
        <v>0</v>
      </c>
      <c r="D178" s="71">
        <v>0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2" t="s">
        <v>8</v>
      </c>
      <c r="P178" s="18" t="s">
        <v>108</v>
      </c>
    </row>
    <row r="179" spans="1:16" x14ac:dyDescent="0.3">
      <c r="A179" s="49" t="s">
        <v>330</v>
      </c>
      <c r="B179" s="191" t="s">
        <v>224</v>
      </c>
      <c r="C179" s="71">
        <v>21.111111111111111</v>
      </c>
      <c r="D179" s="71">
        <v>35.555555555555557</v>
      </c>
      <c r="E179" s="71">
        <v>13.333333333333332</v>
      </c>
      <c r="F179" s="71">
        <v>11.111111111111111</v>
      </c>
      <c r="G179" s="71">
        <v>12.777777777777777</v>
      </c>
      <c r="H179" s="71">
        <v>14.444444444444445</v>
      </c>
      <c r="I179" s="71">
        <v>21.666666666666668</v>
      </c>
      <c r="J179" s="71">
        <v>17.222222222222225</v>
      </c>
      <c r="K179" s="71">
        <v>18.888888888888889</v>
      </c>
      <c r="L179" s="71">
        <v>18.055555555555554</v>
      </c>
      <c r="M179" s="71">
        <v>15.277777777777777</v>
      </c>
      <c r="N179" s="71">
        <v>13.055555555555557</v>
      </c>
      <c r="O179" s="72" t="s">
        <v>8</v>
      </c>
      <c r="P179" s="18" t="s">
        <v>108</v>
      </c>
    </row>
    <row r="180" spans="1:16" x14ac:dyDescent="0.3">
      <c r="A180" s="49" t="s">
        <v>331</v>
      </c>
      <c r="B180" s="191" t="s">
        <v>224</v>
      </c>
      <c r="C180" s="71">
        <v>278</v>
      </c>
      <c r="D180" s="71">
        <v>290</v>
      </c>
      <c r="E180" s="71">
        <v>314</v>
      </c>
      <c r="F180" s="71">
        <v>339</v>
      </c>
      <c r="G180" s="71">
        <v>365</v>
      </c>
      <c r="H180" s="71">
        <v>374</v>
      </c>
      <c r="I180" s="71">
        <v>412</v>
      </c>
      <c r="J180" s="71">
        <v>498.88888888888886</v>
      </c>
      <c r="K180" s="71">
        <v>539.05050000000006</v>
      </c>
      <c r="L180" s="71">
        <v>562.4</v>
      </c>
      <c r="M180" s="71">
        <v>580</v>
      </c>
      <c r="N180" s="71">
        <v>519.44444444444446</v>
      </c>
      <c r="O180" s="72" t="s">
        <v>8</v>
      </c>
      <c r="P180" s="18" t="s">
        <v>108</v>
      </c>
    </row>
    <row r="181" spans="1:16" x14ac:dyDescent="0.3">
      <c r="A181" s="49" t="s">
        <v>332</v>
      </c>
      <c r="B181" s="191" t="s">
        <v>224</v>
      </c>
      <c r="C181" s="71">
        <v>885.83333333333326</v>
      </c>
      <c r="D181" s="71">
        <v>943.33333333333326</v>
      </c>
      <c r="E181" s="71">
        <v>670.27777777777771</v>
      </c>
      <c r="F181" s="71">
        <v>838.33333333333348</v>
      </c>
      <c r="G181" s="71">
        <v>886.38888888888891</v>
      </c>
      <c r="H181" s="71">
        <v>972.22222222222229</v>
      </c>
      <c r="I181" s="71">
        <v>60.277777777777771</v>
      </c>
      <c r="J181" s="71">
        <v>41.666666666666664</v>
      </c>
      <c r="K181" s="71">
        <v>73.606269999999995</v>
      </c>
      <c r="L181" s="71">
        <v>44.444444444444443</v>
      </c>
      <c r="M181" s="71">
        <v>105.55555555555556</v>
      </c>
      <c r="N181" s="71">
        <v>67.222222222222214</v>
      </c>
      <c r="O181" s="72" t="s">
        <v>8</v>
      </c>
      <c r="P181" s="18" t="s">
        <v>108</v>
      </c>
    </row>
    <row r="182" spans="1:16" x14ac:dyDescent="0.3">
      <c r="A182" s="50" t="s">
        <v>333</v>
      </c>
      <c r="B182" s="193" t="s">
        <v>224</v>
      </c>
      <c r="C182" s="75">
        <v>1337.9856162752626</v>
      </c>
      <c r="D182" s="75">
        <v>1431.4913425950917</v>
      </c>
      <c r="E182" s="75">
        <v>1150.5246876816225</v>
      </c>
      <c r="F182" s="75">
        <v>1346.5519324940321</v>
      </c>
      <c r="G182" s="75">
        <v>1415.4555555555555</v>
      </c>
      <c r="H182" s="75">
        <v>1523.5300000000002</v>
      </c>
      <c r="I182" s="75">
        <v>672.70809940228048</v>
      </c>
      <c r="J182" s="75">
        <v>715</v>
      </c>
      <c r="K182" s="75">
        <v>774.13685888888892</v>
      </c>
      <c r="L182" s="75">
        <v>847.82700000000011</v>
      </c>
      <c r="M182" s="75">
        <v>959.44444444444434</v>
      </c>
      <c r="N182" s="75">
        <v>808.05555555555554</v>
      </c>
      <c r="O182" s="72" t="s">
        <v>8</v>
      </c>
      <c r="P182" s="18" t="s">
        <v>108</v>
      </c>
    </row>
    <row r="183" spans="1:16" x14ac:dyDescent="0.3">
      <c r="A183" s="24" t="s">
        <v>102</v>
      </c>
      <c r="B183" s="25" t="s">
        <v>103</v>
      </c>
      <c r="C183" s="87">
        <f>IFERROR((C168+C169+C170+C172+C173+C175+C176+C177+C178+C179+C180+C181)/C182,"")</f>
        <v>0.99812249547193654</v>
      </c>
      <c r="D183" s="87">
        <f>IFERROR((D168+D169+D170+D172+D173+D175+D176+D177+D178+D179+D180+D181)/D182,"")</f>
        <v>0.99800639122201784</v>
      </c>
      <c r="E183" s="87">
        <f t="shared" ref="E183:N183" si="9">IFERROR((E168+E169+E170+E172+E173+E175+E176+E177+E178+E179+E180+E181)/E182,"")</f>
        <v>1.0007248548757082</v>
      </c>
      <c r="F183" s="87">
        <f t="shared" si="9"/>
        <v>0.9997332237688582</v>
      </c>
      <c r="G183" s="87">
        <f t="shared" si="9"/>
        <v>0.99999966088656189</v>
      </c>
      <c r="H183" s="87">
        <f t="shared" si="9"/>
        <v>0.99962636479462541</v>
      </c>
      <c r="I183" s="87">
        <f t="shared" si="9"/>
        <v>1.0009907542009522</v>
      </c>
      <c r="J183" s="87">
        <f t="shared" si="9"/>
        <v>0.99968436052836041</v>
      </c>
      <c r="K183" s="87">
        <f t="shared" si="9"/>
        <v>0.98825634008300745</v>
      </c>
      <c r="L183" s="87">
        <f t="shared" si="9"/>
        <v>1.0012935329446637</v>
      </c>
      <c r="M183" s="87">
        <f t="shared" si="9"/>
        <v>1.0000000000000002</v>
      </c>
      <c r="N183" s="87">
        <f t="shared" si="9"/>
        <v>1.0003437607425232</v>
      </c>
      <c r="O183" s="49"/>
      <c r="P183" s="49"/>
    </row>
    <row r="184" spans="1:16" x14ac:dyDescent="0.3">
      <c r="A184" s="49"/>
      <c r="B184" s="49"/>
      <c r="C184" s="87">
        <f>IFERROR((C167+C171+C174+C179+C180+C181)/C182,"")</f>
        <v>0.99812249547193654</v>
      </c>
      <c r="D184" s="87">
        <f>IFERROR((D167+D171+D174+D179+D180+D181)/D182,"")</f>
        <v>0.99800639122201784</v>
      </c>
      <c r="E184" s="87">
        <f t="shared" ref="E184:N184" si="10">IFERROR((E167+E171+E174+E179+E180+E181)/E182,"")</f>
        <v>1.0007248548757082</v>
      </c>
      <c r="F184" s="87">
        <f t="shared" si="10"/>
        <v>0.9997332237688582</v>
      </c>
      <c r="G184" s="87">
        <f t="shared" si="10"/>
        <v>0.99999966088656189</v>
      </c>
      <c r="H184" s="87">
        <f t="shared" si="10"/>
        <v>0.99962636479462541</v>
      </c>
      <c r="I184" s="87">
        <f t="shared" si="10"/>
        <v>1.0009907542009522</v>
      </c>
      <c r="J184" s="87">
        <f t="shared" si="10"/>
        <v>0.99968436052836041</v>
      </c>
      <c r="K184" s="87">
        <f t="shared" si="10"/>
        <v>0.98825634008300745</v>
      </c>
      <c r="L184" s="87">
        <f t="shared" si="10"/>
        <v>1.0012935329446637</v>
      </c>
      <c r="M184" s="87">
        <f t="shared" si="10"/>
        <v>1.0000000000000002</v>
      </c>
      <c r="N184" s="87">
        <f t="shared" si="10"/>
        <v>1.0003437607425232</v>
      </c>
      <c r="O184" s="49"/>
      <c r="P184" s="49"/>
    </row>
    <row r="185" spans="1:16" x14ac:dyDescent="0.3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1:16" ht="15.6" x14ac:dyDescent="0.3">
      <c r="A186" s="8" t="s">
        <v>334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 x14ac:dyDescent="0.3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1:16" x14ac:dyDescent="0.3">
      <c r="A188" s="49" t="s">
        <v>335</v>
      </c>
      <c r="B188" s="191" t="s">
        <v>224</v>
      </c>
      <c r="C188" s="71">
        <v>11.749999999999998</v>
      </c>
      <c r="D188" s="71">
        <v>0</v>
      </c>
      <c r="E188" s="71"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3.6111111111111112</v>
      </c>
      <c r="M188" s="71">
        <v>2.7777777777777777</v>
      </c>
      <c r="N188" s="71">
        <v>2.5</v>
      </c>
      <c r="O188" s="72"/>
      <c r="P188" s="52"/>
    </row>
    <row r="189" spans="1:16" x14ac:dyDescent="0.3">
      <c r="A189" s="64" t="s">
        <v>298</v>
      </c>
      <c r="B189" s="191" t="s">
        <v>224</v>
      </c>
      <c r="C189" s="71">
        <v>11.749999999999998</v>
      </c>
      <c r="D189" s="71">
        <v>0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3.333333333333333</v>
      </c>
      <c r="M189" s="71">
        <v>2.2222222222222223</v>
      </c>
      <c r="N189" s="71">
        <v>2.2222222222222223</v>
      </c>
      <c r="O189" s="72" t="s">
        <v>8</v>
      </c>
      <c r="P189" s="18" t="s">
        <v>108</v>
      </c>
    </row>
    <row r="190" spans="1:16" x14ac:dyDescent="0.3">
      <c r="A190" s="64" t="s">
        <v>110</v>
      </c>
      <c r="B190" s="191" t="s">
        <v>224</v>
      </c>
      <c r="C190" s="71">
        <v>0</v>
      </c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2" t="s">
        <v>8</v>
      </c>
      <c r="P190" s="18" t="s">
        <v>108</v>
      </c>
    </row>
    <row r="191" spans="1:16" x14ac:dyDescent="0.3">
      <c r="A191" s="64" t="s">
        <v>299</v>
      </c>
      <c r="B191" s="191" t="s">
        <v>224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0.27777777777777779</v>
      </c>
      <c r="M191" s="71">
        <v>0.55555555555555558</v>
      </c>
      <c r="N191" s="71">
        <v>0.27777777777777779</v>
      </c>
      <c r="O191" s="72" t="s">
        <v>8</v>
      </c>
      <c r="P191" s="18" t="s">
        <v>108</v>
      </c>
    </row>
    <row r="192" spans="1:16" x14ac:dyDescent="0.3">
      <c r="A192" s="49" t="s">
        <v>336</v>
      </c>
      <c r="B192" s="191" t="s">
        <v>224</v>
      </c>
      <c r="C192" s="71">
        <v>334.66307528507446</v>
      </c>
      <c r="D192" s="71">
        <v>330.01018075644936</v>
      </c>
      <c r="E192" s="71">
        <v>306.99160102145174</v>
      </c>
      <c r="F192" s="71">
        <v>301.49175149175147</v>
      </c>
      <c r="G192" s="71">
        <v>245.49328355298502</v>
      </c>
      <c r="H192" s="71">
        <v>238.99346138152106</v>
      </c>
      <c r="I192" s="71">
        <v>271.50766479728912</v>
      </c>
      <c r="J192" s="71">
        <v>257.68302266866692</v>
      </c>
      <c r="K192" s="71">
        <v>309.89295219082845</v>
      </c>
      <c r="L192" s="71">
        <v>307.5</v>
      </c>
      <c r="M192" s="71">
        <v>313.33333333333331</v>
      </c>
      <c r="N192" s="71">
        <v>279.72222222222223</v>
      </c>
      <c r="O192" s="72"/>
      <c r="P192" s="58"/>
    </row>
    <row r="193" spans="1:16" x14ac:dyDescent="0.3">
      <c r="A193" s="64" t="s">
        <v>301</v>
      </c>
      <c r="B193" s="191" t="s">
        <v>224</v>
      </c>
      <c r="C193" s="71">
        <v>334.66307528507446</v>
      </c>
      <c r="D193" s="71">
        <v>330.01018075644936</v>
      </c>
      <c r="E193" s="71">
        <v>306.99160102145174</v>
      </c>
      <c r="F193" s="71">
        <v>301.49175149175147</v>
      </c>
      <c r="G193" s="71">
        <v>245.49328355298502</v>
      </c>
      <c r="H193" s="71">
        <v>238.99346138152106</v>
      </c>
      <c r="I193" s="71">
        <v>271.50766479728912</v>
      </c>
      <c r="J193" s="71">
        <v>257.68302266866692</v>
      </c>
      <c r="K193" s="71">
        <v>309.89295219082845</v>
      </c>
      <c r="L193" s="71">
        <v>307.5</v>
      </c>
      <c r="M193" s="71">
        <v>313.33333333333331</v>
      </c>
      <c r="N193" s="71">
        <v>279.72222222222223</v>
      </c>
      <c r="O193" s="72" t="s">
        <v>8</v>
      </c>
      <c r="P193" s="18" t="s">
        <v>108</v>
      </c>
    </row>
    <row r="194" spans="1:16" x14ac:dyDescent="0.3">
      <c r="A194" s="64" t="s">
        <v>302</v>
      </c>
      <c r="B194" s="191" t="s">
        <v>224</v>
      </c>
      <c r="C194" s="71">
        <v>0</v>
      </c>
      <c r="D194" s="71">
        <v>0</v>
      </c>
      <c r="E194" s="71">
        <v>0</v>
      </c>
      <c r="F194" s="71">
        <v>0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2" t="s">
        <v>8</v>
      </c>
      <c r="P194" s="18" t="s">
        <v>108</v>
      </c>
    </row>
    <row r="195" spans="1:16" x14ac:dyDescent="0.3">
      <c r="A195" s="49" t="s">
        <v>337</v>
      </c>
      <c r="B195" s="191" t="s">
        <v>224</v>
      </c>
      <c r="C195" s="71">
        <v>0</v>
      </c>
      <c r="D195" s="71">
        <v>0</v>
      </c>
      <c r="E195" s="71">
        <v>0</v>
      </c>
      <c r="F195" s="71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2"/>
      <c r="P195" s="58"/>
    </row>
    <row r="196" spans="1:16" x14ac:dyDescent="0.3">
      <c r="A196" s="64" t="s">
        <v>114</v>
      </c>
      <c r="B196" s="191" t="s">
        <v>224</v>
      </c>
      <c r="C196" s="71">
        <v>0</v>
      </c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2" t="s">
        <v>8</v>
      </c>
      <c r="P196" s="18" t="s">
        <v>108</v>
      </c>
    </row>
    <row r="197" spans="1:16" x14ac:dyDescent="0.3">
      <c r="A197" s="64" t="s">
        <v>313</v>
      </c>
      <c r="B197" s="191" t="s">
        <v>224</v>
      </c>
      <c r="C197" s="71">
        <v>0</v>
      </c>
      <c r="D197" s="71">
        <v>0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  <c r="L197" s="71">
        <v>0</v>
      </c>
      <c r="M197" s="71">
        <v>0</v>
      </c>
      <c r="N197" s="71">
        <v>0</v>
      </c>
      <c r="O197" s="72" t="s">
        <v>8</v>
      </c>
      <c r="P197" s="18" t="s">
        <v>108</v>
      </c>
    </row>
    <row r="198" spans="1:16" x14ac:dyDescent="0.3">
      <c r="A198" s="64" t="s">
        <v>116</v>
      </c>
      <c r="B198" s="191" t="s">
        <v>224</v>
      </c>
      <c r="C198" s="71">
        <v>0</v>
      </c>
      <c r="D198" s="71">
        <v>0</v>
      </c>
      <c r="E198" s="71">
        <v>0</v>
      </c>
      <c r="F198" s="71">
        <v>0</v>
      </c>
      <c r="G198" s="71">
        <v>0</v>
      </c>
      <c r="H198" s="71">
        <v>0</v>
      </c>
      <c r="I198" s="71">
        <v>0</v>
      </c>
      <c r="J198" s="71">
        <v>0</v>
      </c>
      <c r="K198" s="71">
        <v>0</v>
      </c>
      <c r="L198" s="71">
        <v>0</v>
      </c>
      <c r="M198" s="71">
        <v>0</v>
      </c>
      <c r="N198" s="71">
        <v>0</v>
      </c>
      <c r="O198" s="72" t="s">
        <v>8</v>
      </c>
      <c r="P198" s="18" t="s">
        <v>108</v>
      </c>
    </row>
    <row r="199" spans="1:16" x14ac:dyDescent="0.3">
      <c r="A199" s="64" t="s">
        <v>117</v>
      </c>
      <c r="B199" s="191" t="s">
        <v>224</v>
      </c>
      <c r="C199" s="71">
        <v>0</v>
      </c>
      <c r="D199" s="71">
        <v>5.6966666666666663</v>
      </c>
      <c r="E199" s="71">
        <v>0</v>
      </c>
      <c r="F199" s="71">
        <v>0</v>
      </c>
      <c r="G199" s="71">
        <v>0</v>
      </c>
      <c r="H199" s="71">
        <v>0</v>
      </c>
      <c r="I199" s="71">
        <v>0</v>
      </c>
      <c r="J199" s="71">
        <v>0</v>
      </c>
      <c r="K199" s="71">
        <v>0</v>
      </c>
      <c r="L199" s="71">
        <v>0</v>
      </c>
      <c r="M199" s="71">
        <v>0</v>
      </c>
      <c r="N199" s="71">
        <v>0</v>
      </c>
      <c r="O199" s="72" t="s">
        <v>8</v>
      </c>
      <c r="P199" s="18" t="s">
        <v>108</v>
      </c>
    </row>
    <row r="200" spans="1:16" x14ac:dyDescent="0.3">
      <c r="A200" s="49" t="s">
        <v>338</v>
      </c>
      <c r="B200" s="191" t="s">
        <v>224</v>
      </c>
      <c r="C200" s="71">
        <v>7.2222222222222223</v>
      </c>
      <c r="D200" s="71">
        <v>5.5555555555555554</v>
      </c>
      <c r="E200" s="71">
        <v>8.3333333333333339</v>
      </c>
      <c r="F200" s="71">
        <v>5.5555555555555554</v>
      </c>
      <c r="G200" s="71">
        <v>6.9444444444444446</v>
      </c>
      <c r="H200" s="71">
        <v>7.4999999999999991</v>
      </c>
      <c r="I200" s="71">
        <v>10.555555555555555</v>
      </c>
      <c r="J200" s="71">
        <v>9.7222222222222214</v>
      </c>
      <c r="K200" s="71">
        <v>8.0555555555555536</v>
      </c>
      <c r="L200" s="71">
        <v>8.8888888888888893</v>
      </c>
      <c r="M200" s="71">
        <v>6.9444444444444446</v>
      </c>
      <c r="N200" s="71">
        <v>6.1111111111111107</v>
      </c>
      <c r="O200" s="72" t="s">
        <v>8</v>
      </c>
      <c r="P200" s="18" t="s">
        <v>108</v>
      </c>
    </row>
    <row r="201" spans="1:16" x14ac:dyDescent="0.3">
      <c r="A201" s="49" t="s">
        <v>339</v>
      </c>
      <c r="B201" s="191" t="s">
        <v>224</v>
      </c>
      <c r="C201" s="71">
        <v>351.00000000000006</v>
      </c>
      <c r="D201" s="71">
        <v>337</v>
      </c>
      <c r="E201" s="71">
        <v>364</v>
      </c>
      <c r="F201" s="71">
        <v>355</v>
      </c>
      <c r="G201" s="71">
        <v>367</v>
      </c>
      <c r="H201" s="71">
        <v>369</v>
      </c>
      <c r="I201" s="71">
        <v>403</v>
      </c>
      <c r="J201" s="71">
        <v>491</v>
      </c>
      <c r="K201" s="71">
        <v>482</v>
      </c>
      <c r="L201" s="71">
        <v>354.44444444444446</v>
      </c>
      <c r="M201" s="71">
        <v>360</v>
      </c>
      <c r="N201" s="71">
        <v>382.49999999999994</v>
      </c>
      <c r="O201" s="72" t="s">
        <v>8</v>
      </c>
      <c r="P201" s="18" t="s">
        <v>108</v>
      </c>
    </row>
    <row r="202" spans="1:16" x14ac:dyDescent="0.3">
      <c r="A202" s="49" t="s">
        <v>340</v>
      </c>
      <c r="B202" s="191" t="s">
        <v>224</v>
      </c>
      <c r="C202" s="71">
        <v>78.611111111111114</v>
      </c>
      <c r="D202" s="71">
        <v>66.388888888888886</v>
      </c>
      <c r="E202" s="71">
        <v>58.611111111111107</v>
      </c>
      <c r="F202" s="71">
        <v>47.499999999999993</v>
      </c>
      <c r="G202" s="71">
        <v>70.555555555555557</v>
      </c>
      <c r="H202" s="71">
        <v>78.333333333333329</v>
      </c>
      <c r="I202" s="71">
        <v>32.222222222222214</v>
      </c>
      <c r="J202" s="71">
        <v>83.333333333333329</v>
      </c>
      <c r="K202" s="71">
        <v>95.555555555555571</v>
      </c>
      <c r="L202" s="71">
        <v>47.222222222222221</v>
      </c>
      <c r="M202" s="71">
        <v>49.722222222222221</v>
      </c>
      <c r="N202" s="71">
        <v>8.8888888888888893</v>
      </c>
      <c r="O202" s="72" t="s">
        <v>8</v>
      </c>
      <c r="P202" s="18" t="s">
        <v>108</v>
      </c>
    </row>
    <row r="203" spans="1:16" x14ac:dyDescent="0.3">
      <c r="A203" s="50" t="s">
        <v>341</v>
      </c>
      <c r="B203" s="193" t="s">
        <v>224</v>
      </c>
      <c r="C203" s="75">
        <v>783.24640861840783</v>
      </c>
      <c r="D203" s="75">
        <v>744.65129186756042</v>
      </c>
      <c r="E203" s="75">
        <v>737.9360454658962</v>
      </c>
      <c r="F203" s="75">
        <v>709.54730704730684</v>
      </c>
      <c r="G203" s="75">
        <v>689.99328355298508</v>
      </c>
      <c r="H203" s="75">
        <v>693.82679471485426</v>
      </c>
      <c r="I203" s="75">
        <v>717.28544257506678</v>
      </c>
      <c r="J203" s="75">
        <v>841.73857822422269</v>
      </c>
      <c r="K203" s="75">
        <v>895.51</v>
      </c>
      <c r="L203" s="75">
        <v>721.94444444444446</v>
      </c>
      <c r="M203" s="75">
        <v>732.77777777777771</v>
      </c>
      <c r="N203" s="75">
        <v>680</v>
      </c>
      <c r="O203" s="72" t="s">
        <v>8</v>
      </c>
      <c r="P203" s="18" t="s">
        <v>108</v>
      </c>
    </row>
    <row r="204" spans="1:16" x14ac:dyDescent="0.3">
      <c r="A204" s="24" t="s">
        <v>102</v>
      </c>
      <c r="B204" s="25" t="s">
        <v>103</v>
      </c>
      <c r="C204" s="87">
        <f t="shared" ref="C204:N204" si="11">IFERROR((C189+C190+C191+C193+C194+C196+C197+C198+C199+C200+C201+C202)/C203,"")</f>
        <v>1</v>
      </c>
      <c r="D204" s="87">
        <f t="shared" si="11"/>
        <v>1.0000000000000002</v>
      </c>
      <c r="E204" s="87">
        <f t="shared" si="11"/>
        <v>0.99999999999999989</v>
      </c>
      <c r="F204" s="87">
        <f t="shared" si="11"/>
        <v>1.0000000000000002</v>
      </c>
      <c r="G204" s="87">
        <f t="shared" si="11"/>
        <v>0.99999999999999989</v>
      </c>
      <c r="H204" s="87">
        <f t="shared" si="11"/>
        <v>1.0000000000000002</v>
      </c>
      <c r="I204" s="87">
        <f t="shared" si="11"/>
        <v>1</v>
      </c>
      <c r="J204" s="87">
        <f t="shared" si="11"/>
        <v>0.99999999999999989</v>
      </c>
      <c r="K204" s="87">
        <f t="shared" si="11"/>
        <v>0.99999337059545901</v>
      </c>
      <c r="L204" s="87">
        <f t="shared" si="11"/>
        <v>0.99961523662947283</v>
      </c>
      <c r="M204" s="87">
        <f t="shared" si="11"/>
        <v>1</v>
      </c>
      <c r="N204" s="87">
        <f t="shared" si="11"/>
        <v>0.99959150326797375</v>
      </c>
      <c r="O204" s="49"/>
      <c r="P204" s="49"/>
    </row>
    <row r="205" spans="1:16" x14ac:dyDescent="0.3">
      <c r="A205" s="49"/>
      <c r="B205" s="49"/>
      <c r="C205" s="87">
        <f t="shared" ref="C205:N205" si="12">IFERROR((C188+C192+C195+C200+C201+C202)/C203,"")</f>
        <v>1</v>
      </c>
      <c r="D205" s="87">
        <f t="shared" si="12"/>
        <v>0.99234988681429726</v>
      </c>
      <c r="E205" s="87">
        <f t="shared" si="12"/>
        <v>0.99999999999999989</v>
      </c>
      <c r="F205" s="87">
        <f t="shared" si="12"/>
        <v>1.0000000000000002</v>
      </c>
      <c r="G205" s="87">
        <f t="shared" si="12"/>
        <v>0.99999999999999989</v>
      </c>
      <c r="H205" s="87">
        <f t="shared" si="12"/>
        <v>1.0000000000000002</v>
      </c>
      <c r="I205" s="87">
        <f t="shared" si="12"/>
        <v>1</v>
      </c>
      <c r="J205" s="87">
        <f t="shared" si="12"/>
        <v>0.99999999999999989</v>
      </c>
      <c r="K205" s="87">
        <f t="shared" si="12"/>
        <v>0.99999337059545901</v>
      </c>
      <c r="L205" s="87">
        <f t="shared" si="12"/>
        <v>0.99961523662947283</v>
      </c>
      <c r="M205" s="87">
        <f t="shared" si="12"/>
        <v>1</v>
      </c>
      <c r="N205" s="87">
        <f t="shared" si="12"/>
        <v>0.99959150326797375</v>
      </c>
      <c r="O205" s="49"/>
      <c r="P205" s="49"/>
    </row>
    <row r="206" spans="1:16" ht="15.6" x14ac:dyDescent="0.3">
      <c r="A206" s="8" t="s">
        <v>342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 spans="1:16" x14ac:dyDescent="0.3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1:16" x14ac:dyDescent="0.3">
      <c r="A208" s="49" t="s">
        <v>343</v>
      </c>
      <c r="B208" s="191" t="s">
        <v>224</v>
      </c>
      <c r="C208" s="71">
        <v>37.027777777777771</v>
      </c>
      <c r="D208" s="71">
        <v>37.027777777777771</v>
      </c>
      <c r="E208" s="71">
        <v>25.277777777777779</v>
      </c>
      <c r="F208" s="71">
        <v>12.638888888888889</v>
      </c>
      <c r="G208" s="71">
        <v>25.277777777777779</v>
      </c>
      <c r="H208" s="71">
        <v>107.52777777777777</v>
      </c>
      <c r="I208" s="71">
        <v>84.027777777777771</v>
      </c>
      <c r="J208" s="71">
        <v>60.527777777777779</v>
      </c>
      <c r="K208" s="71">
        <v>24.388888888888886</v>
      </c>
      <c r="L208" s="71">
        <v>34.5</v>
      </c>
      <c r="M208" s="71">
        <v>14.999999999999998</v>
      </c>
      <c r="N208" s="71">
        <v>11.111111111111111</v>
      </c>
      <c r="O208" s="72"/>
      <c r="P208" s="49"/>
    </row>
    <row r="209" spans="1:16" x14ac:dyDescent="0.3">
      <c r="A209" s="64" t="s">
        <v>298</v>
      </c>
      <c r="B209" s="191" t="s">
        <v>224</v>
      </c>
      <c r="C209" s="71">
        <v>11.749999999999998</v>
      </c>
      <c r="D209" s="71">
        <v>11.749999999999998</v>
      </c>
      <c r="E209" s="71">
        <v>0</v>
      </c>
      <c r="F209" s="71">
        <v>0</v>
      </c>
      <c r="G209" s="71">
        <v>0</v>
      </c>
      <c r="H209" s="71">
        <v>82.25</v>
      </c>
      <c r="I209" s="71">
        <v>58.75</v>
      </c>
      <c r="J209" s="71">
        <v>35.25</v>
      </c>
      <c r="K209" s="71">
        <v>11.749999999999998</v>
      </c>
      <c r="L209" s="71">
        <v>11.749999999999998</v>
      </c>
      <c r="M209" s="71">
        <v>5.833333333333333</v>
      </c>
      <c r="N209" s="71">
        <v>4.7222222222222223</v>
      </c>
      <c r="O209" s="72" t="s">
        <v>8</v>
      </c>
      <c r="P209" s="18" t="s">
        <v>108</v>
      </c>
    </row>
    <row r="210" spans="1:16" x14ac:dyDescent="0.3">
      <c r="A210" s="64" t="s">
        <v>110</v>
      </c>
      <c r="B210" s="191" t="s">
        <v>224</v>
      </c>
      <c r="C210" s="71">
        <v>0</v>
      </c>
      <c r="D210" s="71">
        <v>0</v>
      </c>
      <c r="E210" s="71">
        <v>0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2" t="s">
        <v>8</v>
      </c>
      <c r="P210" s="18" t="s">
        <v>108</v>
      </c>
    </row>
    <row r="211" spans="1:16" x14ac:dyDescent="0.3">
      <c r="A211" s="64" t="s">
        <v>299</v>
      </c>
      <c r="B211" s="191" t="s">
        <v>224</v>
      </c>
      <c r="C211" s="71">
        <v>25.277777777777779</v>
      </c>
      <c r="D211" s="71">
        <v>25.277777777777779</v>
      </c>
      <c r="E211" s="71">
        <v>25.277777777777779</v>
      </c>
      <c r="F211" s="71">
        <v>12.638888888888889</v>
      </c>
      <c r="G211" s="71">
        <v>25.277777777777779</v>
      </c>
      <c r="H211" s="71">
        <v>25.277777777777779</v>
      </c>
      <c r="I211" s="71">
        <v>25.277777777777779</v>
      </c>
      <c r="J211" s="71">
        <v>25.277777777777779</v>
      </c>
      <c r="K211" s="71">
        <v>12.638888888888889</v>
      </c>
      <c r="L211" s="71">
        <v>22.75</v>
      </c>
      <c r="M211" s="71">
        <v>9.1666666666666661</v>
      </c>
      <c r="N211" s="71">
        <v>6.3888888888888884</v>
      </c>
      <c r="O211" s="72" t="s">
        <v>8</v>
      </c>
      <c r="P211" s="18" t="s">
        <v>108</v>
      </c>
    </row>
    <row r="212" spans="1:16" x14ac:dyDescent="0.3">
      <c r="A212" s="49" t="s">
        <v>344</v>
      </c>
      <c r="B212" s="191" t="s">
        <v>224</v>
      </c>
      <c r="C212" s="71">
        <v>112.47076644122222</v>
      </c>
      <c r="D212" s="71">
        <v>70.731615339701975</v>
      </c>
      <c r="E212" s="71">
        <v>135.2148547660027</v>
      </c>
      <c r="F212" s="71">
        <v>424.13975700167578</v>
      </c>
      <c r="G212" s="71">
        <v>46.487916795705182</v>
      </c>
      <c r="H212" s="71">
        <v>38.26790333125728</v>
      </c>
      <c r="I212" s="71">
        <v>49.737072270673828</v>
      </c>
      <c r="J212" s="71">
        <v>47.987527014921483</v>
      </c>
      <c r="K212" s="71">
        <v>66.792389228857289</v>
      </c>
      <c r="L212" s="71">
        <v>57.859960958095428</v>
      </c>
      <c r="M212" s="71">
        <v>35.833333333333336</v>
      </c>
      <c r="N212" s="71">
        <v>59.999999999999993</v>
      </c>
      <c r="O212" s="72"/>
      <c r="P212" s="58"/>
    </row>
    <row r="213" spans="1:16" x14ac:dyDescent="0.3">
      <c r="A213" s="64" t="s">
        <v>301</v>
      </c>
      <c r="B213" s="191" t="s">
        <v>224</v>
      </c>
      <c r="C213" s="71">
        <v>112.47076644122222</v>
      </c>
      <c r="D213" s="71">
        <v>70.731615339701975</v>
      </c>
      <c r="E213" s="71">
        <v>135.2148547660027</v>
      </c>
      <c r="F213" s="71">
        <v>424.13975700167578</v>
      </c>
      <c r="G213" s="71">
        <v>46.487916795705182</v>
      </c>
      <c r="H213" s="71">
        <v>37.990125553479501</v>
      </c>
      <c r="I213" s="71">
        <v>49.737072270673828</v>
      </c>
      <c r="J213" s="71">
        <v>47.987527014921483</v>
      </c>
      <c r="K213" s="71">
        <v>66.792389228857289</v>
      </c>
      <c r="L213" s="71">
        <v>57.859960958095428</v>
      </c>
      <c r="M213" s="71">
        <v>35.833333333333336</v>
      </c>
      <c r="N213" s="71">
        <v>59.999999999999993</v>
      </c>
      <c r="O213" s="72" t="s">
        <v>8</v>
      </c>
      <c r="P213" s="18" t="s">
        <v>108</v>
      </c>
    </row>
    <row r="214" spans="1:16" x14ac:dyDescent="0.3">
      <c r="A214" s="64" t="s">
        <v>302</v>
      </c>
      <c r="B214" s="191" t="s">
        <v>224</v>
      </c>
      <c r="C214" s="71">
        <v>0</v>
      </c>
      <c r="D214" s="71">
        <v>0</v>
      </c>
      <c r="E214" s="71">
        <v>0</v>
      </c>
      <c r="F214" s="71">
        <v>0</v>
      </c>
      <c r="G214" s="71">
        <v>0</v>
      </c>
      <c r="H214" s="71">
        <v>0.27777777777777779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2" t="s">
        <v>8</v>
      </c>
      <c r="P214" s="18" t="s">
        <v>108</v>
      </c>
    </row>
    <row r="215" spans="1:16" x14ac:dyDescent="0.3">
      <c r="A215" s="49" t="s">
        <v>345</v>
      </c>
      <c r="B215" s="191" t="s">
        <v>224</v>
      </c>
      <c r="C215" s="71">
        <v>0</v>
      </c>
      <c r="D215" s="71">
        <v>0</v>
      </c>
      <c r="E215" s="71">
        <v>0</v>
      </c>
      <c r="F215" s="71">
        <v>0</v>
      </c>
      <c r="G215" s="71">
        <v>0</v>
      </c>
      <c r="H215" s="71">
        <v>0</v>
      </c>
      <c r="I215" s="71">
        <v>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2"/>
      <c r="P215" s="58"/>
    </row>
    <row r="216" spans="1:16" x14ac:dyDescent="0.3">
      <c r="A216" s="64" t="s">
        <v>114</v>
      </c>
      <c r="B216" s="191" t="s">
        <v>224</v>
      </c>
      <c r="C216" s="71">
        <v>0</v>
      </c>
      <c r="D216" s="71">
        <v>0</v>
      </c>
      <c r="E216" s="71">
        <v>0</v>
      </c>
      <c r="F216" s="71">
        <v>0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1">
        <v>0</v>
      </c>
      <c r="M216" s="71">
        <v>0</v>
      </c>
      <c r="N216" s="71">
        <v>0</v>
      </c>
      <c r="O216" s="72" t="s">
        <v>8</v>
      </c>
      <c r="P216" s="18" t="s">
        <v>108</v>
      </c>
    </row>
    <row r="217" spans="1:16" x14ac:dyDescent="0.3">
      <c r="A217" s="64" t="s">
        <v>313</v>
      </c>
      <c r="B217" s="191" t="s">
        <v>224</v>
      </c>
      <c r="C217" s="71">
        <v>0</v>
      </c>
      <c r="D217" s="71">
        <v>0</v>
      </c>
      <c r="E217" s="71">
        <v>0</v>
      </c>
      <c r="F217" s="71">
        <v>0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1">
        <v>0</v>
      </c>
      <c r="M217" s="71">
        <v>0</v>
      </c>
      <c r="N217" s="71">
        <v>0</v>
      </c>
      <c r="O217" s="72" t="s">
        <v>8</v>
      </c>
      <c r="P217" s="18" t="s">
        <v>108</v>
      </c>
    </row>
    <row r="218" spans="1:16" x14ac:dyDescent="0.3">
      <c r="A218" s="64" t="s">
        <v>116</v>
      </c>
      <c r="B218" s="191" t="s">
        <v>224</v>
      </c>
      <c r="C218" s="71">
        <v>0</v>
      </c>
      <c r="D218" s="71">
        <v>0</v>
      </c>
      <c r="E218" s="71">
        <v>0</v>
      </c>
      <c r="F218" s="71">
        <v>0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2" t="s">
        <v>8</v>
      </c>
      <c r="P218" s="18" t="s">
        <v>108</v>
      </c>
    </row>
    <row r="219" spans="1:16" x14ac:dyDescent="0.3">
      <c r="A219" s="64" t="s">
        <v>117</v>
      </c>
      <c r="B219" s="191" t="s">
        <v>224</v>
      </c>
      <c r="C219" s="71">
        <v>0</v>
      </c>
      <c r="D219" s="71">
        <v>0</v>
      </c>
      <c r="E219" s="71">
        <v>0</v>
      </c>
      <c r="F219" s="71">
        <v>0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2" t="s">
        <v>8</v>
      </c>
      <c r="P219" s="18" t="s">
        <v>108</v>
      </c>
    </row>
    <row r="220" spans="1:16" x14ac:dyDescent="0.3">
      <c r="A220" s="49" t="s">
        <v>346</v>
      </c>
      <c r="B220" s="191" t="s">
        <v>224</v>
      </c>
      <c r="C220" s="71">
        <v>175.83333333333334</v>
      </c>
      <c r="D220" s="71">
        <v>167.22222222222223</v>
      </c>
      <c r="E220" s="71">
        <v>182.77777777777777</v>
      </c>
      <c r="F220" s="71">
        <v>177.22222222222223</v>
      </c>
      <c r="G220" s="71">
        <v>132.5</v>
      </c>
      <c r="H220" s="71">
        <v>208.61111111111114</v>
      </c>
      <c r="I220" s="71">
        <v>192.50000000000003</v>
      </c>
      <c r="J220" s="71">
        <v>200</v>
      </c>
      <c r="K220" s="71">
        <v>179.72222222222223</v>
      </c>
      <c r="L220" s="71">
        <v>169.44444444444443</v>
      </c>
      <c r="M220" s="71">
        <v>196.11111111111111</v>
      </c>
      <c r="N220" s="71">
        <v>227.22222222222223</v>
      </c>
      <c r="O220" s="72" t="s">
        <v>8</v>
      </c>
      <c r="P220" s="18" t="s">
        <v>108</v>
      </c>
    </row>
    <row r="221" spans="1:16" x14ac:dyDescent="0.3">
      <c r="A221" s="49" t="s">
        <v>347</v>
      </c>
      <c r="B221" s="191" t="s">
        <v>224</v>
      </c>
      <c r="C221" s="71">
        <v>252</v>
      </c>
      <c r="D221" s="71">
        <v>199</v>
      </c>
      <c r="E221" s="71">
        <v>198</v>
      </c>
      <c r="F221" s="71">
        <v>252.99999999999997</v>
      </c>
      <c r="G221" s="71">
        <v>151</v>
      </c>
      <c r="H221" s="71">
        <v>134</v>
      </c>
      <c r="I221" s="71">
        <v>114</v>
      </c>
      <c r="J221" s="71">
        <v>114</v>
      </c>
      <c r="K221" s="71">
        <v>115.99999999999999</v>
      </c>
      <c r="L221" s="71">
        <v>140.19999999999996</v>
      </c>
      <c r="M221" s="71">
        <v>127.5</v>
      </c>
      <c r="N221" s="71">
        <v>125</v>
      </c>
      <c r="O221" s="72" t="s">
        <v>8</v>
      </c>
      <c r="P221" s="18" t="s">
        <v>108</v>
      </c>
    </row>
    <row r="222" spans="1:16" x14ac:dyDescent="0.3">
      <c r="A222" s="49" t="s">
        <v>348</v>
      </c>
      <c r="B222" s="191" t="s">
        <v>224</v>
      </c>
      <c r="C222" s="71">
        <v>2.5</v>
      </c>
      <c r="D222" s="71">
        <v>0.27777777777777779</v>
      </c>
      <c r="E222" s="71">
        <v>0</v>
      </c>
      <c r="F222" s="71">
        <v>0.27777777777777779</v>
      </c>
      <c r="G222" s="71">
        <v>0.55555555555555558</v>
      </c>
      <c r="H222" s="71">
        <v>1.3888888888888888</v>
      </c>
      <c r="I222" s="71">
        <v>0</v>
      </c>
      <c r="J222" s="71">
        <v>0</v>
      </c>
      <c r="K222" s="71">
        <v>0</v>
      </c>
      <c r="L222" s="71">
        <v>1.2777777777777777</v>
      </c>
      <c r="M222" s="71">
        <v>1.1111111111111112</v>
      </c>
      <c r="N222" s="71">
        <v>0.83333333333333326</v>
      </c>
      <c r="O222" s="72" t="s">
        <v>8</v>
      </c>
      <c r="P222" s="18" t="s">
        <v>108</v>
      </c>
    </row>
    <row r="223" spans="1:16" x14ac:dyDescent="0.3">
      <c r="A223" s="50" t="s">
        <v>349</v>
      </c>
      <c r="B223" s="193" t="s">
        <v>224</v>
      </c>
      <c r="C223" s="75">
        <v>579.83187755233325</v>
      </c>
      <c r="D223" s="75">
        <v>474.25939311747976</v>
      </c>
      <c r="E223" s="75">
        <v>541.27041032155819</v>
      </c>
      <c r="F223" s="75">
        <v>867.2786458905648</v>
      </c>
      <c r="G223" s="75">
        <v>355.82125012903856</v>
      </c>
      <c r="H223" s="75">
        <v>489.79568110903517</v>
      </c>
      <c r="I223" s="75">
        <v>440.26485004845165</v>
      </c>
      <c r="J223" s="75">
        <v>422.51530479269934</v>
      </c>
      <c r="K223" s="75">
        <v>388.57016700663502</v>
      </c>
      <c r="L223" s="75">
        <v>403.2821831803177</v>
      </c>
      <c r="M223" s="75">
        <v>375.55555555555554</v>
      </c>
      <c r="N223" s="75">
        <v>423.88888888888886</v>
      </c>
      <c r="O223" s="72" t="s">
        <v>8</v>
      </c>
      <c r="P223" s="18" t="s">
        <v>108</v>
      </c>
    </row>
    <row r="224" spans="1:16" x14ac:dyDescent="0.3">
      <c r="A224" s="24" t="s">
        <v>102</v>
      </c>
      <c r="B224" s="25" t="s">
        <v>103</v>
      </c>
      <c r="C224" s="31">
        <f t="shared" ref="C224:N224" si="13">IFERROR((C209+C210+C211+C213+C214+C216+C217+C218+C219+C220+C221+C222)/C223,"")</f>
        <v>1.0000000000000002</v>
      </c>
      <c r="D224" s="31">
        <f t="shared" si="13"/>
        <v>1</v>
      </c>
      <c r="E224" s="31">
        <f t="shared" si="13"/>
        <v>1.0000000000000002</v>
      </c>
      <c r="F224" s="31">
        <f t="shared" si="13"/>
        <v>1</v>
      </c>
      <c r="G224" s="31">
        <f t="shared" si="13"/>
        <v>0.99999999999999989</v>
      </c>
      <c r="H224" s="31">
        <f t="shared" si="13"/>
        <v>0.99999999999999989</v>
      </c>
      <c r="I224" s="31">
        <f t="shared" si="13"/>
        <v>1</v>
      </c>
      <c r="J224" s="31">
        <f t="shared" si="13"/>
        <v>0.99999999999999978</v>
      </c>
      <c r="K224" s="31">
        <f t="shared" si="13"/>
        <v>0.99571077038799494</v>
      </c>
      <c r="L224" s="31">
        <f t="shared" si="13"/>
        <v>0.99999999999999956</v>
      </c>
      <c r="M224" s="31">
        <f t="shared" si="13"/>
        <v>1</v>
      </c>
      <c r="N224" s="31">
        <f t="shared" si="13"/>
        <v>1.0006553079947575</v>
      </c>
      <c r="O224" s="72"/>
      <c r="P224" s="49"/>
    </row>
    <row r="225" spans="1:16" x14ac:dyDescent="0.3">
      <c r="A225" s="49"/>
      <c r="B225" s="49"/>
      <c r="C225" s="31">
        <f t="shared" ref="C225:N225" si="14">IFERROR((C208+C212+C215+C220+C221+C222)/C223,"")</f>
        <v>1.0000000000000002</v>
      </c>
      <c r="D225" s="31">
        <f t="shared" si="14"/>
        <v>1</v>
      </c>
      <c r="E225" s="31">
        <f t="shared" si="14"/>
        <v>1.0000000000000002</v>
      </c>
      <c r="F225" s="31">
        <f t="shared" si="14"/>
        <v>1</v>
      </c>
      <c r="G225" s="31">
        <f t="shared" si="14"/>
        <v>0.99999999999999989</v>
      </c>
      <c r="H225" s="31">
        <f t="shared" si="14"/>
        <v>0.99999999999999989</v>
      </c>
      <c r="I225" s="31">
        <f t="shared" si="14"/>
        <v>1</v>
      </c>
      <c r="J225" s="31">
        <f t="shared" si="14"/>
        <v>0.99999999999999978</v>
      </c>
      <c r="K225" s="31">
        <f t="shared" si="14"/>
        <v>0.99571077038799494</v>
      </c>
      <c r="L225" s="31">
        <f t="shared" si="14"/>
        <v>0.99999999999999956</v>
      </c>
      <c r="M225" s="31">
        <f t="shared" si="14"/>
        <v>1</v>
      </c>
      <c r="N225" s="31">
        <f t="shared" si="14"/>
        <v>1.0006553079947575</v>
      </c>
      <c r="O225" s="72"/>
      <c r="P225" s="49"/>
    </row>
    <row r="226" spans="1:16" ht="15.6" x14ac:dyDescent="0.3">
      <c r="A226" s="8" t="s">
        <v>350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 spans="1:16" x14ac:dyDescent="0.3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 spans="1:16" x14ac:dyDescent="0.3">
      <c r="A228" s="49" t="s">
        <v>351</v>
      </c>
      <c r="B228" s="191" t="s">
        <v>224</v>
      </c>
      <c r="C228" s="71">
        <v>34.722222222222214</v>
      </c>
      <c r="D228" s="71">
        <v>34.444444444444443</v>
      </c>
      <c r="E228" s="71">
        <v>22.5</v>
      </c>
      <c r="F228" s="71">
        <v>22.5</v>
      </c>
      <c r="G228" s="71">
        <v>11.666666666666666</v>
      </c>
      <c r="H228" s="71">
        <v>11.666666666666666</v>
      </c>
      <c r="I228" s="71">
        <v>11.666666666666666</v>
      </c>
      <c r="J228" s="71">
        <v>11.666666666666666</v>
      </c>
      <c r="K228" s="71">
        <v>11.666666666666666</v>
      </c>
      <c r="L228" s="71">
        <v>2.2222222222222223</v>
      </c>
      <c r="M228" s="71">
        <v>0.27777777777777779</v>
      </c>
      <c r="N228" s="71">
        <v>0.27777777777777779</v>
      </c>
      <c r="O228" s="72"/>
      <c r="P228" s="49"/>
    </row>
    <row r="229" spans="1:16" x14ac:dyDescent="0.3">
      <c r="A229" s="64" t="s">
        <v>298</v>
      </c>
      <c r="B229" s="191" t="s">
        <v>224</v>
      </c>
      <c r="C229" s="71">
        <v>23.611111111111111</v>
      </c>
      <c r="D229" s="71">
        <v>23.611111111111111</v>
      </c>
      <c r="E229" s="71">
        <v>11.666666666666666</v>
      </c>
      <c r="F229" s="71">
        <v>11.666666666666666</v>
      </c>
      <c r="G229" s="71">
        <v>11.666666666666666</v>
      </c>
      <c r="H229" s="71">
        <v>11.666666666666666</v>
      </c>
      <c r="I229" s="71">
        <v>11.666666666666666</v>
      </c>
      <c r="J229" s="71">
        <v>11.666666666666666</v>
      </c>
      <c r="K229" s="71">
        <v>11.666666666666666</v>
      </c>
      <c r="L229" s="71">
        <v>2.2222222222222223</v>
      </c>
      <c r="M229" s="71">
        <v>0.27777777777777779</v>
      </c>
      <c r="N229" s="71">
        <v>0.27777777777777779</v>
      </c>
      <c r="O229" s="72" t="s">
        <v>8</v>
      </c>
      <c r="P229" s="18" t="s">
        <v>108</v>
      </c>
    </row>
    <row r="230" spans="1:16" x14ac:dyDescent="0.3">
      <c r="A230" s="64" t="s">
        <v>110</v>
      </c>
      <c r="B230" s="191" t="s">
        <v>224</v>
      </c>
      <c r="C230" s="71">
        <v>11.111111111111111</v>
      </c>
      <c r="D230" s="71">
        <v>10.833333333333334</v>
      </c>
      <c r="E230" s="71">
        <v>10.833333333333334</v>
      </c>
      <c r="F230" s="71">
        <v>10.833333333333334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2" t="s">
        <v>8</v>
      </c>
      <c r="P230" s="18" t="s">
        <v>108</v>
      </c>
    </row>
    <row r="231" spans="1:16" x14ac:dyDescent="0.3">
      <c r="A231" s="64" t="s">
        <v>299</v>
      </c>
      <c r="B231" s="191" t="s">
        <v>224</v>
      </c>
      <c r="C231" s="71">
        <v>0</v>
      </c>
      <c r="D231" s="71">
        <v>0</v>
      </c>
      <c r="E231" s="71">
        <v>0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2" t="s">
        <v>8</v>
      </c>
      <c r="P231" s="18" t="s">
        <v>108</v>
      </c>
    </row>
    <row r="232" spans="1:16" x14ac:dyDescent="0.3">
      <c r="A232" s="49" t="s">
        <v>352</v>
      </c>
      <c r="B232" s="191" t="s">
        <v>224</v>
      </c>
      <c r="C232" s="71">
        <v>210.00000000000003</v>
      </c>
      <c r="D232" s="71">
        <v>212.5</v>
      </c>
      <c r="E232" s="71">
        <v>241.66666666666669</v>
      </c>
      <c r="F232" s="71">
        <v>239.99999999999997</v>
      </c>
      <c r="G232" s="71">
        <v>194.72222222222223</v>
      </c>
      <c r="H232" s="71">
        <v>180</v>
      </c>
      <c r="I232" s="71">
        <v>203.33333333333331</v>
      </c>
      <c r="J232" s="71">
        <v>178.88888888888889</v>
      </c>
      <c r="K232" s="71">
        <v>199.16666666666666</v>
      </c>
      <c r="L232" s="71">
        <v>129.16666666666669</v>
      </c>
      <c r="M232" s="71">
        <v>110.83333333333333</v>
      </c>
      <c r="N232" s="71">
        <v>168.33333333333334</v>
      </c>
      <c r="O232" s="72"/>
      <c r="P232" s="58"/>
    </row>
    <row r="233" spans="1:16" x14ac:dyDescent="0.3">
      <c r="A233" s="64" t="s">
        <v>301</v>
      </c>
      <c r="B233" s="191" t="s">
        <v>224</v>
      </c>
      <c r="C233" s="71">
        <v>210.00000000000003</v>
      </c>
      <c r="D233" s="71">
        <v>212.5</v>
      </c>
      <c r="E233" s="71">
        <v>241.66666666666669</v>
      </c>
      <c r="F233" s="71">
        <v>239.99999999999997</v>
      </c>
      <c r="G233" s="71">
        <v>194.72222222222223</v>
      </c>
      <c r="H233" s="71">
        <v>180</v>
      </c>
      <c r="I233" s="71">
        <v>203.33333333333331</v>
      </c>
      <c r="J233" s="71">
        <v>178.88888888888889</v>
      </c>
      <c r="K233" s="71">
        <v>199.16666666666666</v>
      </c>
      <c r="L233" s="71">
        <v>129.16666666666669</v>
      </c>
      <c r="M233" s="71">
        <v>110.83333333333333</v>
      </c>
      <c r="N233" s="71">
        <v>168.33333333333334</v>
      </c>
      <c r="O233" s="72" t="s">
        <v>8</v>
      </c>
      <c r="P233" s="18" t="s">
        <v>108</v>
      </c>
    </row>
    <row r="234" spans="1:16" x14ac:dyDescent="0.3">
      <c r="A234" s="64" t="s">
        <v>302</v>
      </c>
      <c r="B234" s="191" t="s">
        <v>224</v>
      </c>
      <c r="C234" s="71">
        <v>0</v>
      </c>
      <c r="D234" s="71">
        <v>0</v>
      </c>
      <c r="E234" s="71">
        <v>0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0</v>
      </c>
      <c r="N234" s="71">
        <v>0</v>
      </c>
      <c r="O234" s="72" t="s">
        <v>8</v>
      </c>
      <c r="P234" s="18" t="s">
        <v>108</v>
      </c>
    </row>
    <row r="235" spans="1:16" x14ac:dyDescent="0.3">
      <c r="A235" s="49" t="s">
        <v>353</v>
      </c>
      <c r="B235" s="191" t="s">
        <v>224</v>
      </c>
      <c r="C235" s="71">
        <v>851.94444444444446</v>
      </c>
      <c r="D235" s="71">
        <v>1023.6111111111111</v>
      </c>
      <c r="E235" s="71">
        <v>868.88888888888891</v>
      </c>
      <c r="F235" s="71">
        <v>1451.9444444444443</v>
      </c>
      <c r="G235" s="71">
        <v>1073.6111111111109</v>
      </c>
      <c r="H235" s="71">
        <v>558.8888888888888</v>
      </c>
      <c r="I235" s="71">
        <v>456.11111111111109</v>
      </c>
      <c r="J235" s="71">
        <v>631.66666666666652</v>
      </c>
      <c r="K235" s="71">
        <v>630.83333333333337</v>
      </c>
      <c r="L235" s="71">
        <v>747.49999999999989</v>
      </c>
      <c r="M235" s="71">
        <v>119.72222222222221</v>
      </c>
      <c r="N235" s="71">
        <v>0.55555555555555558</v>
      </c>
      <c r="O235" s="72"/>
      <c r="P235" s="58"/>
    </row>
    <row r="236" spans="1:16" x14ac:dyDescent="0.3">
      <c r="A236" s="64" t="s">
        <v>114</v>
      </c>
      <c r="B236" s="191" t="s">
        <v>224</v>
      </c>
      <c r="C236" s="71">
        <v>339.44444444444446</v>
      </c>
      <c r="D236" s="71">
        <v>416.3888888888888</v>
      </c>
      <c r="E236" s="71">
        <v>386.11111111111114</v>
      </c>
      <c r="F236" s="71">
        <v>316.66666666666669</v>
      </c>
      <c r="G236" s="71">
        <v>482.77777777777771</v>
      </c>
      <c r="H236" s="71">
        <v>165.83333333333334</v>
      </c>
      <c r="I236" s="71">
        <v>150.83333333333334</v>
      </c>
      <c r="J236" s="71">
        <v>207.77777777777774</v>
      </c>
      <c r="K236" s="71">
        <v>268.88888888888886</v>
      </c>
      <c r="L236" s="71">
        <v>316.66666666666669</v>
      </c>
      <c r="M236" s="71">
        <v>59.722222222222221</v>
      </c>
      <c r="N236" s="71">
        <v>0</v>
      </c>
      <c r="O236" s="72" t="s">
        <v>8</v>
      </c>
      <c r="P236" s="18" t="s">
        <v>108</v>
      </c>
    </row>
    <row r="237" spans="1:16" x14ac:dyDescent="0.3">
      <c r="A237" s="64" t="s">
        <v>313</v>
      </c>
      <c r="B237" s="191" t="s">
        <v>224</v>
      </c>
      <c r="C237" s="71">
        <v>512.5</v>
      </c>
      <c r="D237" s="71">
        <v>607.22222222222217</v>
      </c>
      <c r="E237" s="71">
        <v>482.77777777777771</v>
      </c>
      <c r="F237" s="71">
        <v>421.94444444444446</v>
      </c>
      <c r="G237" s="71">
        <v>394.44444444444446</v>
      </c>
      <c r="H237" s="71">
        <v>173.88888888888889</v>
      </c>
      <c r="I237" s="71">
        <v>113.33333333333334</v>
      </c>
      <c r="J237" s="71">
        <v>232.5</v>
      </c>
      <c r="K237" s="71">
        <v>260.83333333333331</v>
      </c>
      <c r="L237" s="71">
        <v>231.11111111111111</v>
      </c>
      <c r="M237" s="71">
        <v>16.111111111111107</v>
      </c>
      <c r="N237" s="71">
        <v>0</v>
      </c>
      <c r="O237" s="72" t="s">
        <v>8</v>
      </c>
      <c r="P237" s="18" t="s">
        <v>108</v>
      </c>
    </row>
    <row r="238" spans="1:16" x14ac:dyDescent="0.3">
      <c r="A238" s="64" t="s">
        <v>116</v>
      </c>
      <c r="B238" s="191" t="s">
        <v>224</v>
      </c>
      <c r="C238" s="71">
        <v>0</v>
      </c>
      <c r="D238" s="71">
        <v>0</v>
      </c>
      <c r="E238" s="71">
        <v>0</v>
      </c>
      <c r="F238" s="71">
        <v>39.722222222222221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2" t="s">
        <v>8</v>
      </c>
      <c r="P238" s="18" t="s">
        <v>108</v>
      </c>
    </row>
    <row r="239" spans="1:16" x14ac:dyDescent="0.3">
      <c r="A239" s="64" t="s">
        <v>117</v>
      </c>
      <c r="B239" s="191" t="s">
        <v>224</v>
      </c>
      <c r="C239" s="71">
        <v>0</v>
      </c>
      <c r="D239" s="71">
        <v>0</v>
      </c>
      <c r="E239" s="71">
        <v>0</v>
      </c>
      <c r="F239" s="71">
        <v>673.61111111111109</v>
      </c>
      <c r="G239" s="71">
        <v>196.38888888888889</v>
      </c>
      <c r="H239" s="71">
        <v>219.16666666666666</v>
      </c>
      <c r="I239" s="71">
        <v>191.94444444444446</v>
      </c>
      <c r="J239" s="71">
        <v>191.38888888888886</v>
      </c>
      <c r="K239" s="71">
        <v>101.11111111111111</v>
      </c>
      <c r="L239" s="71">
        <v>199.72222222222223</v>
      </c>
      <c r="M239" s="71">
        <v>43.888888888888886</v>
      </c>
      <c r="N239" s="71">
        <v>0.55555555555555558</v>
      </c>
      <c r="O239" s="72" t="s">
        <v>8</v>
      </c>
      <c r="P239" s="18" t="s">
        <v>108</v>
      </c>
    </row>
    <row r="240" spans="1:16" x14ac:dyDescent="0.3">
      <c r="A240" s="49" t="s">
        <v>354</v>
      </c>
      <c r="B240" s="191" t="s">
        <v>224</v>
      </c>
      <c r="C240" s="71">
        <v>12.222222222222221</v>
      </c>
      <c r="D240" s="71">
        <v>14.999999999999998</v>
      </c>
      <c r="E240" s="71">
        <v>16.666666666666668</v>
      </c>
      <c r="F240" s="71">
        <v>13.055555555555557</v>
      </c>
      <c r="G240" s="71">
        <v>14.722222222222221</v>
      </c>
      <c r="H240" s="71">
        <v>16.666666666666668</v>
      </c>
      <c r="I240" s="71">
        <v>22.5</v>
      </c>
      <c r="J240" s="71">
        <v>20</v>
      </c>
      <c r="K240" s="71">
        <v>26.388888888888889</v>
      </c>
      <c r="L240" s="71">
        <v>22.222222222222221</v>
      </c>
      <c r="M240" s="71">
        <v>19.444444444444443</v>
      </c>
      <c r="N240" s="71">
        <v>21.388888888888889</v>
      </c>
      <c r="O240" s="72" t="s">
        <v>8</v>
      </c>
      <c r="P240" s="18" t="s">
        <v>108</v>
      </c>
    </row>
    <row r="241" spans="1:16" x14ac:dyDescent="0.3">
      <c r="A241" s="49" t="s">
        <v>355</v>
      </c>
      <c r="B241" s="191" t="s">
        <v>224</v>
      </c>
      <c r="C241" s="71">
        <v>210.00000000000003</v>
      </c>
      <c r="D241" s="71">
        <v>201.94444444444443</v>
      </c>
      <c r="E241" s="71">
        <v>206.11111111111111</v>
      </c>
      <c r="F241" s="71">
        <v>193.88888888888889</v>
      </c>
      <c r="G241" s="71">
        <v>208.88888888888891</v>
      </c>
      <c r="H241" s="71">
        <v>158.88888888888889</v>
      </c>
      <c r="I241" s="71">
        <v>161.11111111111111</v>
      </c>
      <c r="J241" s="71">
        <v>150</v>
      </c>
      <c r="K241" s="71">
        <v>193.88888888888889</v>
      </c>
      <c r="L241" s="71">
        <v>186.11111111111111</v>
      </c>
      <c r="M241" s="71">
        <v>133.05555555555554</v>
      </c>
      <c r="N241" s="71">
        <v>174.44444444444443</v>
      </c>
      <c r="O241" s="72" t="s">
        <v>8</v>
      </c>
      <c r="P241" s="18" t="s">
        <v>108</v>
      </c>
    </row>
    <row r="242" spans="1:16" x14ac:dyDescent="0.3">
      <c r="A242" s="49" t="s">
        <v>356</v>
      </c>
      <c r="B242" s="191" t="s">
        <v>224</v>
      </c>
      <c r="C242" s="71">
        <v>2.7777777777777777</v>
      </c>
      <c r="D242" s="71">
        <v>1.9444444444444444</v>
      </c>
      <c r="E242" s="71">
        <v>2.2222222222222223</v>
      </c>
      <c r="F242" s="71">
        <v>2.5</v>
      </c>
      <c r="G242" s="71">
        <v>0.55555555555555558</v>
      </c>
      <c r="H242" s="71">
        <v>61.944444444444443</v>
      </c>
      <c r="I242" s="71">
        <v>8.6111111111111125</v>
      </c>
      <c r="J242" s="71">
        <v>120.27777777777776</v>
      </c>
      <c r="K242" s="71">
        <v>184.16666666666666</v>
      </c>
      <c r="L242" s="71">
        <v>34.44444444444445</v>
      </c>
      <c r="M242" s="71">
        <v>8.8888888888888893</v>
      </c>
      <c r="N242" s="71">
        <v>2.5</v>
      </c>
      <c r="O242" s="72" t="s">
        <v>8</v>
      </c>
      <c r="P242" s="18" t="s">
        <v>108</v>
      </c>
    </row>
    <row r="243" spans="1:16" x14ac:dyDescent="0.3">
      <c r="A243" s="50" t="s">
        <v>357</v>
      </c>
      <c r="B243" s="193" t="s">
        <v>224</v>
      </c>
      <c r="C243" s="75">
        <v>1321.3888888888889</v>
      </c>
      <c r="D243" s="75">
        <v>1489.4444444444443</v>
      </c>
      <c r="E243" s="75">
        <v>1358.0555555555554</v>
      </c>
      <c r="F243" s="75">
        <v>1923.8888888888889</v>
      </c>
      <c r="G243" s="75">
        <v>1504.1666666666667</v>
      </c>
      <c r="H243" s="75">
        <v>988.33333333333326</v>
      </c>
      <c r="I243" s="75">
        <v>863.05555555555543</v>
      </c>
      <c r="J243" s="75">
        <v>1112.2222222222222</v>
      </c>
      <c r="K243" s="75">
        <v>1246.3888888888889</v>
      </c>
      <c r="L243" s="75">
        <v>1121.6666666666667</v>
      </c>
      <c r="M243" s="75">
        <v>392.22222222222223</v>
      </c>
      <c r="N243" s="75">
        <v>367.5</v>
      </c>
      <c r="O243" s="72" t="s">
        <v>8</v>
      </c>
      <c r="P243" s="18" t="s">
        <v>108</v>
      </c>
    </row>
    <row r="244" spans="1:16" x14ac:dyDescent="0.3">
      <c r="A244" s="24" t="s">
        <v>102</v>
      </c>
      <c r="B244" s="25" t="s">
        <v>103</v>
      </c>
      <c r="C244" s="87">
        <f t="shared" ref="C244:N244" si="15">IFERROR((C229+C230+C231+C233+C234+C236+C237+C238+C239+C240+C241+C242)/C243,"")</f>
        <v>1.0002102165230187</v>
      </c>
      <c r="D244" s="87">
        <f t="shared" si="15"/>
        <v>0.99999999999999989</v>
      </c>
      <c r="E244" s="87">
        <f t="shared" si="15"/>
        <v>1.0000000000000002</v>
      </c>
      <c r="F244" s="87">
        <f t="shared" si="15"/>
        <v>1.0000000000000002</v>
      </c>
      <c r="G244" s="87">
        <f>IFERROR((G229+G230+G231+G233+G234+G236+G237+G238+G239+G240+G241+G242)/G243,"")</f>
        <v>1</v>
      </c>
      <c r="H244" s="87">
        <f>IFERROR((H229+H230+H231+H233+H234+H236+H237+H238+H239+H240+H241+H242)/H243,"")</f>
        <v>0.99971894322653188</v>
      </c>
      <c r="I244" s="87">
        <f t="shared" si="15"/>
        <v>1.0003218538783394</v>
      </c>
      <c r="J244" s="87">
        <f t="shared" si="15"/>
        <v>1.0002497502497503</v>
      </c>
      <c r="K244" s="87">
        <f t="shared" si="15"/>
        <v>0.99977713394250056</v>
      </c>
      <c r="L244" s="87">
        <f t="shared" si="15"/>
        <v>0.99999999999999978</v>
      </c>
      <c r="M244" s="87">
        <f t="shared" si="15"/>
        <v>1</v>
      </c>
      <c r="N244" s="87">
        <f t="shared" si="15"/>
        <v>1</v>
      </c>
      <c r="O244" s="72"/>
      <c r="P244" s="49"/>
    </row>
    <row r="245" spans="1:16" x14ac:dyDescent="0.3">
      <c r="A245" s="49"/>
      <c r="B245" s="49"/>
      <c r="C245" s="87">
        <f t="shared" ref="C245:N245" si="16">IFERROR((C228+C232+C235+C240+C241+C242)/C243,"")</f>
        <v>1.0002102165230187</v>
      </c>
      <c r="D245" s="87">
        <f t="shared" si="16"/>
        <v>1</v>
      </c>
      <c r="E245" s="87">
        <f t="shared" si="16"/>
        <v>1.0000000000000002</v>
      </c>
      <c r="F245" s="87">
        <f t="shared" si="16"/>
        <v>1</v>
      </c>
      <c r="G245" s="87">
        <f t="shared" si="16"/>
        <v>0.99999999999999989</v>
      </c>
      <c r="H245" s="87">
        <f t="shared" si="16"/>
        <v>0.99971894322653165</v>
      </c>
      <c r="I245" s="87">
        <f t="shared" si="16"/>
        <v>1.0003218538783394</v>
      </c>
      <c r="J245" s="87">
        <f t="shared" si="16"/>
        <v>1.00024975024975</v>
      </c>
      <c r="K245" s="87">
        <f t="shared" si="16"/>
        <v>0.99977713394250067</v>
      </c>
      <c r="L245" s="87">
        <f t="shared" si="16"/>
        <v>0.99999999999999978</v>
      </c>
      <c r="M245" s="87">
        <f t="shared" si="16"/>
        <v>1</v>
      </c>
      <c r="N245" s="87">
        <f t="shared" si="16"/>
        <v>1</v>
      </c>
      <c r="O245" s="72"/>
      <c r="P245" s="49"/>
    </row>
    <row r="246" spans="1:16" ht="15.6" x14ac:dyDescent="0.3">
      <c r="A246" s="8" t="s">
        <v>358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spans="1:16" x14ac:dyDescent="0.3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x14ac:dyDescent="0.3">
      <c r="A248" s="49" t="s">
        <v>359</v>
      </c>
      <c r="B248" s="191" t="s">
        <v>224</v>
      </c>
      <c r="C248" s="71">
        <v>0</v>
      </c>
      <c r="D248" s="71">
        <v>0</v>
      </c>
      <c r="E248" s="71">
        <v>0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0</v>
      </c>
      <c r="N248" s="71">
        <v>0</v>
      </c>
      <c r="O248" s="72"/>
      <c r="P248" s="49"/>
    </row>
    <row r="249" spans="1:16" x14ac:dyDescent="0.3">
      <c r="A249" s="64" t="s">
        <v>298</v>
      </c>
      <c r="B249" s="191" t="s">
        <v>224</v>
      </c>
      <c r="C249" s="71">
        <v>0</v>
      </c>
      <c r="D249" s="71">
        <v>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2" t="s">
        <v>8</v>
      </c>
      <c r="P249" s="18" t="s">
        <v>108</v>
      </c>
    </row>
    <row r="250" spans="1:16" x14ac:dyDescent="0.3">
      <c r="A250" s="64" t="s">
        <v>110</v>
      </c>
      <c r="B250" s="191" t="s">
        <v>224</v>
      </c>
      <c r="C250" s="71">
        <v>0</v>
      </c>
      <c r="D250" s="71">
        <v>0</v>
      </c>
      <c r="E250" s="71">
        <v>0</v>
      </c>
      <c r="F250" s="71">
        <v>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0</v>
      </c>
      <c r="O250" s="72" t="s">
        <v>8</v>
      </c>
      <c r="P250" s="18" t="s">
        <v>108</v>
      </c>
    </row>
    <row r="251" spans="1:16" x14ac:dyDescent="0.3">
      <c r="A251" s="64" t="s">
        <v>299</v>
      </c>
      <c r="B251" s="191" t="s">
        <v>224</v>
      </c>
      <c r="C251" s="71">
        <v>0</v>
      </c>
      <c r="D251" s="71">
        <v>0</v>
      </c>
      <c r="E251" s="71">
        <v>0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2" t="s">
        <v>8</v>
      </c>
      <c r="P251" s="18" t="s">
        <v>108</v>
      </c>
    </row>
    <row r="252" spans="1:16" x14ac:dyDescent="0.3">
      <c r="A252" s="49" t="s">
        <v>360</v>
      </c>
      <c r="B252" s="191" t="s">
        <v>224</v>
      </c>
      <c r="C252" s="71">
        <v>1.3888888888888888</v>
      </c>
      <c r="D252" s="71">
        <v>1.3888888888888888</v>
      </c>
      <c r="E252" s="71">
        <v>0.83333333333333326</v>
      </c>
      <c r="F252" s="71">
        <v>0.83333333333333326</v>
      </c>
      <c r="G252" s="71">
        <v>0.55555555555555558</v>
      </c>
      <c r="H252" s="71">
        <v>0.27777777777777779</v>
      </c>
      <c r="I252" s="71">
        <v>3.6111111111111112</v>
      </c>
      <c r="J252" s="71">
        <v>3.0555555555555554</v>
      </c>
      <c r="K252" s="71">
        <v>3.8888888888888888</v>
      </c>
      <c r="L252" s="71">
        <v>5</v>
      </c>
      <c r="M252" s="71">
        <v>2.5</v>
      </c>
      <c r="N252" s="71">
        <v>3.6111111111111112</v>
      </c>
      <c r="O252" s="72"/>
      <c r="P252" s="58"/>
    </row>
    <row r="253" spans="1:16" x14ac:dyDescent="0.3">
      <c r="A253" s="64" t="s">
        <v>301</v>
      </c>
      <c r="B253" s="191" t="s">
        <v>224</v>
      </c>
      <c r="C253" s="71">
        <v>1.3888888888888888</v>
      </c>
      <c r="D253" s="71">
        <v>1.3888888888888888</v>
      </c>
      <c r="E253" s="71">
        <v>0.83333333333333326</v>
      </c>
      <c r="F253" s="71">
        <v>0.83333333333333326</v>
      </c>
      <c r="G253" s="71">
        <v>0.55555555555555558</v>
      </c>
      <c r="H253" s="71">
        <v>0.27777777777777779</v>
      </c>
      <c r="I253" s="71">
        <v>3.6111111111111112</v>
      </c>
      <c r="J253" s="71">
        <v>3.0555555555555554</v>
      </c>
      <c r="K253" s="71">
        <v>3.8888888888888888</v>
      </c>
      <c r="L253" s="71">
        <v>5</v>
      </c>
      <c r="M253" s="71">
        <v>2.5</v>
      </c>
      <c r="N253" s="71">
        <v>3.6111111111111112</v>
      </c>
      <c r="O253" s="72" t="s">
        <v>8</v>
      </c>
      <c r="P253" s="18" t="s">
        <v>108</v>
      </c>
    </row>
    <row r="254" spans="1:16" x14ac:dyDescent="0.3">
      <c r="A254" s="64" t="s">
        <v>302</v>
      </c>
      <c r="B254" s="191" t="s">
        <v>224</v>
      </c>
      <c r="C254" s="71">
        <v>0</v>
      </c>
      <c r="D254" s="71">
        <v>0</v>
      </c>
      <c r="E254" s="71">
        <v>0</v>
      </c>
      <c r="F254" s="71">
        <v>0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0</v>
      </c>
      <c r="N254" s="71">
        <v>0</v>
      </c>
      <c r="O254" s="72" t="s">
        <v>8</v>
      </c>
      <c r="P254" s="18" t="s">
        <v>108</v>
      </c>
    </row>
    <row r="255" spans="1:16" x14ac:dyDescent="0.3">
      <c r="A255" s="49" t="s">
        <v>361</v>
      </c>
      <c r="B255" s="191" t="s">
        <v>224</v>
      </c>
      <c r="C255" s="71">
        <v>0</v>
      </c>
      <c r="D255" s="71">
        <v>0</v>
      </c>
      <c r="E255" s="71">
        <v>0</v>
      </c>
      <c r="F255" s="71">
        <v>0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72"/>
      <c r="P255" s="58"/>
    </row>
    <row r="256" spans="1:16" x14ac:dyDescent="0.3">
      <c r="A256" s="64" t="s">
        <v>114</v>
      </c>
      <c r="B256" s="191" t="s">
        <v>224</v>
      </c>
      <c r="C256" s="71">
        <v>0</v>
      </c>
      <c r="D256" s="71">
        <v>0</v>
      </c>
      <c r="E256" s="71">
        <v>0</v>
      </c>
      <c r="F256" s="71">
        <v>0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2" t="s">
        <v>8</v>
      </c>
      <c r="P256" s="18" t="s">
        <v>108</v>
      </c>
    </row>
    <row r="257" spans="1:16" x14ac:dyDescent="0.3">
      <c r="A257" s="64" t="s">
        <v>313</v>
      </c>
      <c r="B257" s="191" t="s">
        <v>224</v>
      </c>
      <c r="C257" s="71">
        <v>0</v>
      </c>
      <c r="D257" s="71">
        <v>0</v>
      </c>
      <c r="E257" s="71">
        <v>0</v>
      </c>
      <c r="F257" s="71">
        <v>0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0</v>
      </c>
      <c r="N257" s="71">
        <v>0</v>
      </c>
      <c r="O257" s="72" t="s">
        <v>8</v>
      </c>
      <c r="P257" s="18" t="s">
        <v>108</v>
      </c>
    </row>
    <row r="258" spans="1:16" x14ac:dyDescent="0.3">
      <c r="A258" s="64" t="s">
        <v>116</v>
      </c>
      <c r="B258" s="191" t="s">
        <v>224</v>
      </c>
      <c r="C258" s="71">
        <v>0</v>
      </c>
      <c r="D258" s="71">
        <v>0</v>
      </c>
      <c r="E258" s="71">
        <v>0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2" t="s">
        <v>8</v>
      </c>
      <c r="P258" s="18" t="s">
        <v>108</v>
      </c>
    </row>
    <row r="259" spans="1:16" x14ac:dyDescent="0.3">
      <c r="A259" s="64" t="s">
        <v>117</v>
      </c>
      <c r="B259" s="191" t="s">
        <v>224</v>
      </c>
      <c r="C259" s="71">
        <v>0</v>
      </c>
      <c r="D259" s="71">
        <v>0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2" t="s">
        <v>8</v>
      </c>
      <c r="P259" s="18" t="s">
        <v>108</v>
      </c>
    </row>
    <row r="260" spans="1:16" x14ac:dyDescent="0.3">
      <c r="A260" s="49" t="s">
        <v>362</v>
      </c>
      <c r="B260" s="191" t="s">
        <v>224</v>
      </c>
      <c r="C260" s="71">
        <v>0.27777777777777779</v>
      </c>
      <c r="D260" s="71">
        <v>0</v>
      </c>
      <c r="E260" s="71">
        <v>0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2" t="s">
        <v>8</v>
      </c>
      <c r="P260" s="18" t="s">
        <v>108</v>
      </c>
    </row>
    <row r="261" spans="1:16" x14ac:dyDescent="0.3">
      <c r="A261" s="49" t="s">
        <v>363</v>
      </c>
      <c r="B261" s="191" t="s">
        <v>224</v>
      </c>
      <c r="C261" s="71">
        <v>3.0555555555555554</v>
      </c>
      <c r="D261" s="71">
        <v>3.0555555555555554</v>
      </c>
      <c r="E261" s="71">
        <v>1.1111111111111112</v>
      </c>
      <c r="F261" s="71">
        <v>1.1111111111111112</v>
      </c>
      <c r="G261" s="71">
        <v>1.1111111111111112</v>
      </c>
      <c r="H261" s="71">
        <v>1.1111111111111112</v>
      </c>
      <c r="I261" s="71">
        <v>1.1111111111111112</v>
      </c>
      <c r="J261" s="71">
        <v>1.9444444444444444</v>
      </c>
      <c r="K261" s="71">
        <v>3.0555555555555554</v>
      </c>
      <c r="L261" s="71">
        <v>8.0555555555555536</v>
      </c>
      <c r="M261" s="71">
        <v>8.3333333333333339</v>
      </c>
      <c r="N261" s="71">
        <v>10.277777777777777</v>
      </c>
      <c r="O261" s="72" t="s">
        <v>8</v>
      </c>
      <c r="P261" s="18" t="s">
        <v>108</v>
      </c>
    </row>
    <row r="262" spans="1:16" x14ac:dyDescent="0.3">
      <c r="A262" s="49" t="s">
        <v>364</v>
      </c>
      <c r="B262" s="191" t="s">
        <v>224</v>
      </c>
      <c r="C262" s="71">
        <v>0</v>
      </c>
      <c r="D262" s="71">
        <v>0.27777777777777779</v>
      </c>
      <c r="E262" s="71">
        <v>0.27777777777777779</v>
      </c>
      <c r="F262" s="71">
        <v>0.27777777777777779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2" t="s">
        <v>8</v>
      </c>
      <c r="P262" s="18" t="s">
        <v>108</v>
      </c>
    </row>
    <row r="263" spans="1:16" x14ac:dyDescent="0.3">
      <c r="A263" s="50" t="s">
        <v>365</v>
      </c>
      <c r="B263" s="193" t="s">
        <v>224</v>
      </c>
      <c r="C263" s="75">
        <v>4.7222222222222223</v>
      </c>
      <c r="D263" s="75">
        <v>4.7222222222222223</v>
      </c>
      <c r="E263" s="75">
        <v>2.2222222222222223</v>
      </c>
      <c r="F263" s="75">
        <v>2.2222222222222223</v>
      </c>
      <c r="G263" s="75">
        <v>1.6666666666666665</v>
      </c>
      <c r="H263" s="75">
        <v>1.3888888888888888</v>
      </c>
      <c r="I263" s="75">
        <v>4.7222222222222223</v>
      </c>
      <c r="J263" s="75">
        <v>5</v>
      </c>
      <c r="K263" s="75">
        <v>6.6666666666666661</v>
      </c>
      <c r="L263" s="75">
        <v>13.055555555555557</v>
      </c>
      <c r="M263" s="75">
        <v>10.833333333333334</v>
      </c>
      <c r="N263" s="75">
        <v>13.888888888888889</v>
      </c>
      <c r="O263" s="72" t="s">
        <v>8</v>
      </c>
      <c r="P263" s="18" t="s">
        <v>108</v>
      </c>
    </row>
    <row r="264" spans="1:16" x14ac:dyDescent="0.3">
      <c r="A264" s="24" t="s">
        <v>102</v>
      </c>
      <c r="B264" s="25" t="s">
        <v>103</v>
      </c>
      <c r="C264" s="87">
        <f t="shared" ref="C264:N264" si="17">IFERROR((C249+C250+C251+C253+C254+C256+C257+C258+C259+C260+C261+C262)/C263,"")</f>
        <v>0.99999999999999978</v>
      </c>
      <c r="D264" s="87">
        <f t="shared" si="17"/>
        <v>1</v>
      </c>
      <c r="E264" s="87">
        <f t="shared" si="17"/>
        <v>1</v>
      </c>
      <c r="F264" s="87">
        <f t="shared" si="17"/>
        <v>1</v>
      </c>
      <c r="G264" s="87">
        <f t="shared" si="17"/>
        <v>1.0000000000000002</v>
      </c>
      <c r="H264" s="87">
        <f t="shared" si="17"/>
        <v>1</v>
      </c>
      <c r="I264" s="87">
        <f t="shared" si="17"/>
        <v>1</v>
      </c>
      <c r="J264" s="87">
        <f t="shared" si="17"/>
        <v>1</v>
      </c>
      <c r="K264" s="87">
        <f t="shared" si="17"/>
        <v>1.0416666666666667</v>
      </c>
      <c r="L264" s="87">
        <f t="shared" si="17"/>
        <v>0.99999999999999978</v>
      </c>
      <c r="M264" s="87">
        <f t="shared" si="17"/>
        <v>1</v>
      </c>
      <c r="N264" s="87">
        <f t="shared" si="17"/>
        <v>0.99999999999999989</v>
      </c>
      <c r="O264" s="72"/>
      <c r="P264" s="49"/>
    </row>
    <row r="265" spans="1:16" x14ac:dyDescent="0.3">
      <c r="A265" s="49"/>
      <c r="B265" s="49"/>
      <c r="C265" s="87">
        <f t="shared" ref="C265:N265" si="18">IFERROR((C248+C252+C255+C260+C261+C262)/C263,"")</f>
        <v>0.99999999999999978</v>
      </c>
      <c r="D265" s="87">
        <f t="shared" si="18"/>
        <v>1</v>
      </c>
      <c r="E265" s="87">
        <f t="shared" si="18"/>
        <v>1</v>
      </c>
      <c r="F265" s="87">
        <f t="shared" si="18"/>
        <v>1</v>
      </c>
      <c r="G265" s="87">
        <f t="shared" si="18"/>
        <v>1.0000000000000002</v>
      </c>
      <c r="H265" s="87">
        <f t="shared" si="18"/>
        <v>1</v>
      </c>
      <c r="I265" s="87">
        <f t="shared" si="18"/>
        <v>1</v>
      </c>
      <c r="J265" s="87">
        <f t="shared" si="18"/>
        <v>1</v>
      </c>
      <c r="K265" s="87">
        <f t="shared" si="18"/>
        <v>1.0416666666666667</v>
      </c>
      <c r="L265" s="87">
        <f t="shared" si="18"/>
        <v>0.99999999999999978</v>
      </c>
      <c r="M265" s="87">
        <f t="shared" si="18"/>
        <v>1</v>
      </c>
      <c r="N265" s="87">
        <f t="shared" si="18"/>
        <v>0.99999999999999989</v>
      </c>
      <c r="O265" s="72"/>
      <c r="P265" s="49"/>
    </row>
    <row r="266" spans="1:16" ht="15.6" x14ac:dyDescent="0.3">
      <c r="A266" s="8" t="s">
        <v>366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x14ac:dyDescent="0.3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x14ac:dyDescent="0.3">
      <c r="A268" s="49" t="s">
        <v>367</v>
      </c>
      <c r="B268" s="191" t="s">
        <v>224</v>
      </c>
      <c r="C268" s="71">
        <v>0</v>
      </c>
      <c r="D268" s="71">
        <v>0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2"/>
      <c r="P268" s="49"/>
    </row>
    <row r="269" spans="1:16" x14ac:dyDescent="0.3">
      <c r="A269" s="64" t="s">
        <v>298</v>
      </c>
      <c r="B269" s="191" t="s">
        <v>224</v>
      </c>
      <c r="C269" s="71">
        <v>0</v>
      </c>
      <c r="D269" s="71">
        <v>0</v>
      </c>
      <c r="E269" s="71">
        <v>0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2" t="s">
        <v>8</v>
      </c>
      <c r="P269" s="18" t="s">
        <v>108</v>
      </c>
    </row>
    <row r="270" spans="1:16" x14ac:dyDescent="0.3">
      <c r="A270" s="64" t="s">
        <v>110</v>
      </c>
      <c r="B270" s="191" t="s">
        <v>224</v>
      </c>
      <c r="C270" s="71">
        <v>0</v>
      </c>
      <c r="D270" s="71">
        <v>0</v>
      </c>
      <c r="E270" s="71">
        <v>0</v>
      </c>
      <c r="F270" s="71">
        <v>0</v>
      </c>
      <c r="G270" s="71">
        <v>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2" t="s">
        <v>8</v>
      </c>
      <c r="P270" s="18" t="s">
        <v>108</v>
      </c>
    </row>
    <row r="271" spans="1:16" x14ac:dyDescent="0.3">
      <c r="A271" s="64" t="s">
        <v>299</v>
      </c>
      <c r="B271" s="191" t="s">
        <v>224</v>
      </c>
      <c r="C271" s="71">
        <v>0</v>
      </c>
      <c r="D271" s="71">
        <v>0</v>
      </c>
      <c r="E271" s="71">
        <v>0</v>
      </c>
      <c r="F271" s="71">
        <v>0</v>
      </c>
      <c r="G271" s="71">
        <v>0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2" t="s">
        <v>8</v>
      </c>
      <c r="P271" s="18" t="s">
        <v>108</v>
      </c>
    </row>
    <row r="272" spans="1:16" x14ac:dyDescent="0.3">
      <c r="A272" s="49" t="s">
        <v>368</v>
      </c>
      <c r="B272" s="191" t="s">
        <v>224</v>
      </c>
      <c r="C272" s="71">
        <v>15.361639432092151</v>
      </c>
      <c r="D272" s="71">
        <v>0</v>
      </c>
      <c r="E272" s="71">
        <v>22.026451395722194</v>
      </c>
      <c r="F272" s="71">
        <v>15.563507905657403</v>
      </c>
      <c r="G272" s="71">
        <v>15.749999999999998</v>
      </c>
      <c r="H272" s="71">
        <v>11.250162064047711</v>
      </c>
      <c r="I272" s="71">
        <v>13.170419385871401</v>
      </c>
      <c r="J272" s="71">
        <v>12.200534062784941</v>
      </c>
      <c r="K272" s="71">
        <v>12.496752481483959</v>
      </c>
      <c r="L272" s="71">
        <v>4.9987009925935846</v>
      </c>
      <c r="M272" s="71">
        <v>6.3888888888888884</v>
      </c>
      <c r="N272" s="71">
        <v>2.5</v>
      </c>
      <c r="O272" s="72"/>
      <c r="P272" s="58"/>
    </row>
    <row r="273" spans="1:16" x14ac:dyDescent="0.3">
      <c r="A273" s="64" t="s">
        <v>301</v>
      </c>
      <c r="B273" s="191" t="s">
        <v>224</v>
      </c>
      <c r="C273" s="71">
        <v>15.361639432092151</v>
      </c>
      <c r="D273" s="71">
        <v>0</v>
      </c>
      <c r="E273" s="71">
        <v>22.026451395722194</v>
      </c>
      <c r="F273" s="71">
        <v>15.563507905657403</v>
      </c>
      <c r="G273" s="71">
        <v>15.749999999999998</v>
      </c>
      <c r="H273" s="71">
        <v>11.250162064047711</v>
      </c>
      <c r="I273" s="71">
        <v>13.170419385871401</v>
      </c>
      <c r="J273" s="71">
        <v>12.200534062784941</v>
      </c>
      <c r="K273" s="71">
        <v>12.496752481483959</v>
      </c>
      <c r="L273" s="71">
        <v>4.9987009925935846</v>
      </c>
      <c r="M273" s="71">
        <v>6.3888888888888884</v>
      </c>
      <c r="N273" s="71">
        <v>2.5</v>
      </c>
      <c r="O273" s="72" t="s">
        <v>8</v>
      </c>
      <c r="P273" s="18" t="s">
        <v>108</v>
      </c>
    </row>
    <row r="274" spans="1:16" x14ac:dyDescent="0.3">
      <c r="A274" s="64" t="s">
        <v>302</v>
      </c>
      <c r="B274" s="191" t="s">
        <v>224</v>
      </c>
      <c r="C274" s="71">
        <v>0</v>
      </c>
      <c r="D274" s="71">
        <v>0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2" t="s">
        <v>8</v>
      </c>
      <c r="P274" s="18" t="s">
        <v>108</v>
      </c>
    </row>
    <row r="275" spans="1:16" x14ac:dyDescent="0.3">
      <c r="A275" s="49" t="s">
        <v>369</v>
      </c>
      <c r="B275" s="191" t="s">
        <v>224</v>
      </c>
      <c r="C275" s="71">
        <v>7.5444444444444434</v>
      </c>
      <c r="D275" s="71">
        <v>7.5686111111111112</v>
      </c>
      <c r="E275" s="71">
        <v>7.5686111111111112</v>
      </c>
      <c r="F275" s="71">
        <v>7.5413888888888891</v>
      </c>
      <c r="G275" s="71">
        <v>7.5427777777777774</v>
      </c>
      <c r="H275" s="71">
        <v>0</v>
      </c>
      <c r="I275" s="71">
        <v>0</v>
      </c>
      <c r="J275" s="71">
        <v>0.54999999999999993</v>
      </c>
      <c r="K275" s="71">
        <v>0</v>
      </c>
      <c r="L275" s="71">
        <v>0</v>
      </c>
      <c r="M275" s="71">
        <v>0</v>
      </c>
      <c r="N275" s="71">
        <v>0</v>
      </c>
      <c r="O275" s="72"/>
      <c r="P275" s="58"/>
    </row>
    <row r="276" spans="1:16" x14ac:dyDescent="0.3">
      <c r="A276" s="64" t="s">
        <v>114</v>
      </c>
      <c r="B276" s="191" t="s">
        <v>224</v>
      </c>
      <c r="C276" s="71">
        <v>7.5444444444444434</v>
      </c>
      <c r="D276" s="71">
        <v>7.5686111111111112</v>
      </c>
      <c r="E276" s="71">
        <v>7.5686111111111112</v>
      </c>
      <c r="F276" s="71">
        <v>7.5413888888888891</v>
      </c>
      <c r="G276" s="71">
        <v>7.5427777777777774</v>
      </c>
      <c r="H276" s="71">
        <v>0</v>
      </c>
      <c r="I276" s="71">
        <v>0</v>
      </c>
      <c r="J276" s="71">
        <v>0.54999999999999993</v>
      </c>
      <c r="K276" s="71">
        <v>0</v>
      </c>
      <c r="L276" s="71">
        <v>0</v>
      </c>
      <c r="M276" s="71">
        <v>0</v>
      </c>
      <c r="N276" s="71">
        <v>0</v>
      </c>
      <c r="O276" s="72" t="s">
        <v>8</v>
      </c>
      <c r="P276" s="18" t="s">
        <v>108</v>
      </c>
    </row>
    <row r="277" spans="1:16" x14ac:dyDescent="0.3">
      <c r="A277" s="64" t="s">
        <v>313</v>
      </c>
      <c r="B277" s="191" t="s">
        <v>224</v>
      </c>
      <c r="C277" s="71">
        <v>0</v>
      </c>
      <c r="D277" s="71">
        <v>0</v>
      </c>
      <c r="E277" s="71">
        <v>0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2" t="s">
        <v>8</v>
      </c>
      <c r="P277" s="18" t="s">
        <v>108</v>
      </c>
    </row>
    <row r="278" spans="1:16" x14ac:dyDescent="0.3">
      <c r="A278" s="64" t="s">
        <v>116</v>
      </c>
      <c r="B278" s="191" t="s">
        <v>224</v>
      </c>
      <c r="C278" s="71">
        <v>0</v>
      </c>
      <c r="D278" s="71">
        <v>0</v>
      </c>
      <c r="E278" s="71">
        <v>0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2" t="s">
        <v>8</v>
      </c>
      <c r="P278" s="18" t="s">
        <v>108</v>
      </c>
    </row>
    <row r="279" spans="1:16" x14ac:dyDescent="0.3">
      <c r="A279" s="64" t="s">
        <v>117</v>
      </c>
      <c r="B279" s="191" t="s">
        <v>224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2" t="s">
        <v>8</v>
      </c>
      <c r="P279" s="18" t="s">
        <v>108</v>
      </c>
    </row>
    <row r="280" spans="1:16" x14ac:dyDescent="0.3">
      <c r="A280" s="49" t="s">
        <v>370</v>
      </c>
      <c r="B280" s="191" t="s">
        <v>224</v>
      </c>
      <c r="C280" s="71">
        <v>1.1111111111111112</v>
      </c>
      <c r="D280" s="71">
        <v>0.83333333333333326</v>
      </c>
      <c r="E280" s="71">
        <v>0.27777777777777779</v>
      </c>
      <c r="F280" s="71">
        <v>0.27777777777777779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2" t="s">
        <v>8</v>
      </c>
      <c r="P280" s="18" t="s">
        <v>108</v>
      </c>
    </row>
    <row r="281" spans="1:16" x14ac:dyDescent="0.3">
      <c r="A281" s="49" t="s">
        <v>371</v>
      </c>
      <c r="B281" s="191" t="s">
        <v>224</v>
      </c>
      <c r="C281" s="71">
        <v>10</v>
      </c>
      <c r="D281" s="71">
        <v>7</v>
      </c>
      <c r="E281" s="71">
        <v>9</v>
      </c>
      <c r="F281" s="71">
        <v>5</v>
      </c>
      <c r="G281" s="71">
        <v>5</v>
      </c>
      <c r="H281" s="71">
        <v>4</v>
      </c>
      <c r="I281" s="71">
        <v>5</v>
      </c>
      <c r="J281" s="71">
        <v>0</v>
      </c>
      <c r="K281" s="71">
        <v>3</v>
      </c>
      <c r="L281" s="71">
        <v>2.7</v>
      </c>
      <c r="M281" s="71">
        <v>3.0555555555555554</v>
      </c>
      <c r="N281" s="71">
        <v>3.333333333333333</v>
      </c>
      <c r="O281" s="72" t="s">
        <v>8</v>
      </c>
      <c r="P281" s="18" t="s">
        <v>108</v>
      </c>
    </row>
    <row r="282" spans="1:16" x14ac:dyDescent="0.3">
      <c r="A282" s="49" t="s">
        <v>372</v>
      </c>
      <c r="B282" s="191" t="s">
        <v>224</v>
      </c>
      <c r="C282" s="71">
        <v>0</v>
      </c>
      <c r="D282" s="71">
        <v>0</v>
      </c>
      <c r="E282" s="71">
        <v>0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2" t="s">
        <v>8</v>
      </c>
      <c r="P282" s="18" t="s">
        <v>108</v>
      </c>
    </row>
    <row r="283" spans="1:16" x14ac:dyDescent="0.3">
      <c r="A283" s="50" t="s">
        <v>373</v>
      </c>
      <c r="B283" s="193" t="s">
        <v>224</v>
      </c>
      <c r="C283" s="75">
        <v>34.017194987647706</v>
      </c>
      <c r="D283" s="75">
        <v>15.401944444444444</v>
      </c>
      <c r="E283" s="75">
        <v>38.87284028461108</v>
      </c>
      <c r="F283" s="75">
        <v>28.382674572324071</v>
      </c>
      <c r="G283" s="75">
        <v>28.292777777777772</v>
      </c>
      <c r="H283" s="75">
        <v>15.250162064047711</v>
      </c>
      <c r="I283" s="75">
        <v>18.170419385871401</v>
      </c>
      <c r="J283" s="75">
        <v>12.75053406278494</v>
      </c>
      <c r="K283" s="75">
        <v>15.496752481483959</v>
      </c>
      <c r="L283" s="75">
        <v>7.6987009925935839</v>
      </c>
      <c r="M283" s="75">
        <v>9.4444444444444446</v>
      </c>
      <c r="N283" s="75">
        <v>5.833333333333333</v>
      </c>
      <c r="O283" s="72" t="s">
        <v>8</v>
      </c>
      <c r="P283" s="18" t="s">
        <v>108</v>
      </c>
    </row>
    <row r="284" spans="1:16" x14ac:dyDescent="0.3">
      <c r="A284" s="24" t="s">
        <v>102</v>
      </c>
      <c r="B284" s="25" t="s">
        <v>103</v>
      </c>
      <c r="C284" s="87">
        <f t="shared" ref="C284:N284" si="19">IFERROR((C269+C270+C271+C273+C274+C276+C277+C278+C279+C280+C281+C282)/C283,"")</f>
        <v>1</v>
      </c>
      <c r="D284" s="87">
        <f t="shared" si="19"/>
        <v>1</v>
      </c>
      <c r="E284" s="87">
        <f t="shared" si="19"/>
        <v>1.0000000000000002</v>
      </c>
      <c r="F284" s="87">
        <f t="shared" si="19"/>
        <v>1</v>
      </c>
      <c r="G284" s="87">
        <f t="shared" si="19"/>
        <v>1.0000000000000002</v>
      </c>
      <c r="H284" s="87">
        <f t="shared" si="19"/>
        <v>1</v>
      </c>
      <c r="I284" s="87">
        <f t="shared" si="19"/>
        <v>1</v>
      </c>
      <c r="J284" s="87">
        <f t="shared" si="19"/>
        <v>1.0000000000000002</v>
      </c>
      <c r="K284" s="87">
        <f t="shared" si="19"/>
        <v>1</v>
      </c>
      <c r="L284" s="87">
        <f t="shared" si="19"/>
        <v>1.0000000000000002</v>
      </c>
      <c r="M284" s="87">
        <f t="shared" si="19"/>
        <v>0.99999999999999978</v>
      </c>
      <c r="N284" s="87">
        <f t="shared" si="19"/>
        <v>1</v>
      </c>
      <c r="O284" s="72"/>
      <c r="P284" s="49"/>
    </row>
    <row r="285" spans="1:16" x14ac:dyDescent="0.3">
      <c r="A285" s="49"/>
      <c r="B285" s="49"/>
      <c r="C285" s="87">
        <f t="shared" ref="C285:N285" si="20">IFERROR((C268+C272+C275+C280+C281+C282)/C283,"")</f>
        <v>1</v>
      </c>
      <c r="D285" s="87">
        <f t="shared" si="20"/>
        <v>1</v>
      </c>
      <c r="E285" s="87">
        <f t="shared" si="20"/>
        <v>1.0000000000000002</v>
      </c>
      <c r="F285" s="87">
        <f t="shared" si="20"/>
        <v>1</v>
      </c>
      <c r="G285" s="87">
        <f t="shared" si="20"/>
        <v>1.0000000000000002</v>
      </c>
      <c r="H285" s="87">
        <f t="shared" si="20"/>
        <v>1</v>
      </c>
      <c r="I285" s="87">
        <f t="shared" si="20"/>
        <v>1</v>
      </c>
      <c r="J285" s="87">
        <f t="shared" si="20"/>
        <v>1.0000000000000002</v>
      </c>
      <c r="K285" s="87">
        <f t="shared" si="20"/>
        <v>1</v>
      </c>
      <c r="L285" s="87">
        <f t="shared" si="20"/>
        <v>1.0000000000000002</v>
      </c>
      <c r="M285" s="87">
        <f t="shared" si="20"/>
        <v>0.99999999999999978</v>
      </c>
      <c r="N285" s="87">
        <f t="shared" si="20"/>
        <v>1</v>
      </c>
      <c r="O285" s="72"/>
      <c r="P285" s="49"/>
    </row>
    <row r="286" spans="1:16" ht="15.6" x14ac:dyDescent="0.3">
      <c r="A286" s="8" t="s">
        <v>374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1:16" x14ac:dyDescent="0.3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1:16" x14ac:dyDescent="0.3">
      <c r="A288" s="49" t="s">
        <v>375</v>
      </c>
      <c r="B288" s="191" t="s">
        <v>224</v>
      </c>
      <c r="C288" s="71">
        <v>47.682999999999993</v>
      </c>
      <c r="D288" s="71">
        <v>0</v>
      </c>
      <c r="E288" s="71">
        <v>24.423000000000002</v>
      </c>
      <c r="F288" s="71">
        <v>25.586000000000002</v>
      </c>
      <c r="G288" s="71">
        <v>12.638888888888889</v>
      </c>
      <c r="H288" s="71">
        <v>12.638888888888889</v>
      </c>
      <c r="I288" s="71">
        <v>12.638888888888889</v>
      </c>
      <c r="J288" s="71">
        <v>12.638888888888889</v>
      </c>
      <c r="K288" s="71">
        <v>12.638888888888889</v>
      </c>
      <c r="L288" s="71">
        <v>39.022222222222219</v>
      </c>
      <c r="M288" s="71">
        <v>21.111111111111111</v>
      </c>
      <c r="N288" s="71">
        <v>13.888888888888889</v>
      </c>
      <c r="O288" s="72"/>
      <c r="P288" s="49"/>
    </row>
    <row r="289" spans="1:16" x14ac:dyDescent="0.3">
      <c r="A289" s="64" t="s">
        <v>298</v>
      </c>
      <c r="B289" s="191" t="s">
        <v>224</v>
      </c>
      <c r="C289" s="71">
        <v>23.499999999999996</v>
      </c>
      <c r="D289" s="71">
        <v>0</v>
      </c>
      <c r="E289" s="71">
        <v>11.749999999999998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18.8</v>
      </c>
      <c r="M289" s="71">
        <v>1.1111111111111112</v>
      </c>
      <c r="N289" s="71">
        <v>1.1111111111111112</v>
      </c>
      <c r="O289" s="72" t="s">
        <v>8</v>
      </c>
      <c r="P289" s="18" t="s">
        <v>108</v>
      </c>
    </row>
    <row r="290" spans="1:16" x14ac:dyDescent="0.3">
      <c r="A290" s="64" t="s">
        <v>110</v>
      </c>
      <c r="B290" s="191" t="s">
        <v>224</v>
      </c>
      <c r="C290" s="71">
        <v>11.027777777777779</v>
      </c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2" t="s">
        <v>8</v>
      </c>
      <c r="P290" s="18" t="s">
        <v>108</v>
      </c>
    </row>
    <row r="291" spans="1:16" x14ac:dyDescent="0.3">
      <c r="A291" s="64" t="s">
        <v>299</v>
      </c>
      <c r="B291" s="191" t="s">
        <v>224</v>
      </c>
      <c r="C291" s="71">
        <v>12.638888888888889</v>
      </c>
      <c r="D291" s="71">
        <v>0</v>
      </c>
      <c r="E291" s="71">
        <v>12.638888888888889</v>
      </c>
      <c r="F291" s="71">
        <v>25.277777777777779</v>
      </c>
      <c r="G291" s="71">
        <v>12.638888888888889</v>
      </c>
      <c r="H291" s="71">
        <v>12.638888888888889</v>
      </c>
      <c r="I291" s="71">
        <v>12.638888888888889</v>
      </c>
      <c r="J291" s="71">
        <v>12.638888888888889</v>
      </c>
      <c r="K291" s="71">
        <v>12.638888888888889</v>
      </c>
      <c r="L291" s="71">
        <v>20.222222222222221</v>
      </c>
      <c r="M291" s="71">
        <v>20</v>
      </c>
      <c r="N291" s="71">
        <v>12.777777777777777</v>
      </c>
      <c r="O291" s="72" t="s">
        <v>8</v>
      </c>
      <c r="P291" s="18" t="s">
        <v>108</v>
      </c>
    </row>
    <row r="292" spans="1:16" x14ac:dyDescent="0.3">
      <c r="A292" s="49" t="s">
        <v>376</v>
      </c>
      <c r="B292" s="191" t="s">
        <v>224</v>
      </c>
      <c r="C292" s="71">
        <v>61.234083951332096</v>
      </c>
      <c r="D292" s="71">
        <v>113.22057155083036</v>
      </c>
      <c r="E292" s="71">
        <v>103.72304016246049</v>
      </c>
      <c r="F292" s="71">
        <v>91.226288335658026</v>
      </c>
      <c r="G292" s="71">
        <v>72.731095631990357</v>
      </c>
      <c r="H292" s="71">
        <v>69.981810230093828</v>
      </c>
      <c r="I292" s="71">
        <v>60.234343805187905</v>
      </c>
      <c r="J292" s="71">
        <v>45.988046722633086</v>
      </c>
      <c r="K292" s="71">
        <v>38.167079559347023</v>
      </c>
      <c r="L292" s="71">
        <v>39.339774750774161</v>
      </c>
      <c r="M292" s="71">
        <v>35.277777777777779</v>
      </c>
      <c r="N292" s="71">
        <v>48.055555555555564</v>
      </c>
      <c r="O292" s="72"/>
      <c r="P292" s="58"/>
    </row>
    <row r="293" spans="1:16" x14ac:dyDescent="0.3">
      <c r="A293" s="64" t="s">
        <v>301</v>
      </c>
      <c r="B293" s="191" t="s">
        <v>224</v>
      </c>
      <c r="C293" s="71">
        <v>61.234083951332096</v>
      </c>
      <c r="D293" s="71">
        <v>113.22057155083036</v>
      </c>
      <c r="E293" s="71">
        <v>103.72304016246049</v>
      </c>
      <c r="F293" s="71">
        <v>91.226288335658026</v>
      </c>
      <c r="G293" s="71">
        <v>72.731095631990357</v>
      </c>
      <c r="H293" s="71">
        <v>69.981810230093828</v>
      </c>
      <c r="I293" s="71">
        <v>60.234343805187905</v>
      </c>
      <c r="J293" s="71">
        <v>45.988046722633086</v>
      </c>
      <c r="K293" s="71">
        <v>38.167079559347023</v>
      </c>
      <c r="L293" s="71">
        <v>39.339774750774161</v>
      </c>
      <c r="M293" s="71">
        <v>35.277777777777779</v>
      </c>
      <c r="N293" s="71">
        <v>48.055555555555564</v>
      </c>
      <c r="O293" s="72" t="s">
        <v>8</v>
      </c>
      <c r="P293" s="18" t="s">
        <v>108</v>
      </c>
    </row>
    <row r="294" spans="1:16" x14ac:dyDescent="0.3">
      <c r="A294" s="64" t="s">
        <v>302</v>
      </c>
      <c r="B294" s="191" t="s">
        <v>224</v>
      </c>
      <c r="C294" s="71">
        <v>0</v>
      </c>
      <c r="D294" s="71">
        <v>0</v>
      </c>
      <c r="E294" s="71">
        <v>0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2" t="s">
        <v>8</v>
      </c>
      <c r="P294" s="18" t="s">
        <v>108</v>
      </c>
    </row>
    <row r="295" spans="1:16" x14ac:dyDescent="0.3">
      <c r="A295" s="49" t="s">
        <v>377</v>
      </c>
      <c r="B295" s="191" t="s">
        <v>224</v>
      </c>
      <c r="C295" s="71">
        <v>0</v>
      </c>
      <c r="D295" s="71">
        <v>0</v>
      </c>
      <c r="E295" s="71">
        <v>0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2"/>
      <c r="P295" s="58"/>
    </row>
    <row r="296" spans="1:16" x14ac:dyDescent="0.3">
      <c r="A296" s="64" t="s">
        <v>114</v>
      </c>
      <c r="B296" s="191" t="s">
        <v>224</v>
      </c>
      <c r="C296" s="71">
        <v>0</v>
      </c>
      <c r="D296" s="71">
        <v>0</v>
      </c>
      <c r="E296" s="71">
        <v>0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2" t="s">
        <v>8</v>
      </c>
      <c r="P296" s="18" t="s">
        <v>108</v>
      </c>
    </row>
    <row r="297" spans="1:16" x14ac:dyDescent="0.3">
      <c r="A297" s="64" t="s">
        <v>313</v>
      </c>
      <c r="B297" s="191" t="s">
        <v>224</v>
      </c>
      <c r="C297" s="71">
        <v>0</v>
      </c>
      <c r="D297" s="71">
        <v>0</v>
      </c>
      <c r="E297" s="71">
        <v>0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2" t="s">
        <v>8</v>
      </c>
      <c r="P297" s="18" t="s">
        <v>108</v>
      </c>
    </row>
    <row r="298" spans="1:16" x14ac:dyDescent="0.3">
      <c r="A298" s="64" t="s">
        <v>116</v>
      </c>
      <c r="B298" s="191" t="s">
        <v>224</v>
      </c>
      <c r="C298" s="71">
        <v>0</v>
      </c>
      <c r="D298" s="71">
        <v>0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2" t="s">
        <v>8</v>
      </c>
      <c r="P298" s="18" t="s">
        <v>108</v>
      </c>
    </row>
    <row r="299" spans="1:16" x14ac:dyDescent="0.3">
      <c r="A299" s="64" t="s">
        <v>117</v>
      </c>
      <c r="B299" s="191" t="s">
        <v>224</v>
      </c>
      <c r="C299" s="71">
        <v>0</v>
      </c>
      <c r="D299" s="71">
        <v>0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2" t="s">
        <v>8</v>
      </c>
      <c r="P299" s="18" t="s">
        <v>108</v>
      </c>
    </row>
    <row r="300" spans="1:16" x14ac:dyDescent="0.3">
      <c r="A300" s="49" t="s">
        <v>378</v>
      </c>
      <c r="B300" s="191" t="s">
        <v>224</v>
      </c>
      <c r="C300" s="71">
        <v>60.555555555555564</v>
      </c>
      <c r="D300" s="71">
        <v>68.6111111111111</v>
      </c>
      <c r="E300" s="71">
        <v>80.555555555555557</v>
      </c>
      <c r="F300" s="71">
        <v>81.944444444444443</v>
      </c>
      <c r="G300" s="71">
        <v>91.111111111111114</v>
      </c>
      <c r="H300" s="71">
        <v>62.777777777777779</v>
      </c>
      <c r="I300" s="71">
        <v>59.166666666666664</v>
      </c>
      <c r="J300" s="71">
        <v>59.999999999999993</v>
      </c>
      <c r="K300" s="71">
        <v>60.833333333333343</v>
      </c>
      <c r="L300" s="71">
        <v>52.777777777777779</v>
      </c>
      <c r="M300" s="71">
        <v>69.444444444444443</v>
      </c>
      <c r="N300" s="71">
        <v>108.33333333333333</v>
      </c>
      <c r="O300" s="72" t="s">
        <v>8</v>
      </c>
      <c r="P300" s="18" t="s">
        <v>108</v>
      </c>
    </row>
    <row r="301" spans="1:16" x14ac:dyDescent="0.3">
      <c r="A301" s="49" t="s">
        <v>379</v>
      </c>
      <c r="B301" s="191" t="s">
        <v>224</v>
      </c>
      <c r="C301" s="71">
        <v>294</v>
      </c>
      <c r="D301" s="71">
        <v>293</v>
      </c>
      <c r="E301" s="71">
        <v>285</v>
      </c>
      <c r="F301" s="71">
        <v>260</v>
      </c>
      <c r="G301" s="71">
        <v>248</v>
      </c>
      <c r="H301" s="71">
        <v>250</v>
      </c>
      <c r="I301" s="71">
        <v>294</v>
      </c>
      <c r="J301" s="71">
        <v>302</v>
      </c>
      <c r="K301" s="71">
        <v>320</v>
      </c>
      <c r="L301" s="71">
        <v>225.8</v>
      </c>
      <c r="M301" s="71">
        <v>223.88888888888886</v>
      </c>
      <c r="N301" s="71">
        <v>273.61111111111109</v>
      </c>
      <c r="O301" s="72" t="s">
        <v>8</v>
      </c>
      <c r="P301" s="18" t="s">
        <v>108</v>
      </c>
    </row>
    <row r="302" spans="1:16" x14ac:dyDescent="0.3">
      <c r="A302" s="49" t="s">
        <v>380</v>
      </c>
      <c r="B302" s="191" t="s">
        <v>224</v>
      </c>
      <c r="C302" s="71">
        <v>7.2222222222222223</v>
      </c>
      <c r="D302" s="71">
        <v>14.444444444444445</v>
      </c>
      <c r="E302" s="71">
        <v>8.6111111111111125</v>
      </c>
      <c r="F302" s="71">
        <v>8.6111111111111125</v>
      </c>
      <c r="G302" s="71">
        <v>8.8888888888888893</v>
      </c>
      <c r="H302" s="71">
        <v>9.7222222222222214</v>
      </c>
      <c r="I302" s="71">
        <v>12.777777777777777</v>
      </c>
      <c r="J302" s="71">
        <v>11.944444444444443</v>
      </c>
      <c r="K302" s="71">
        <v>15.555555555555555</v>
      </c>
      <c r="L302" s="71">
        <v>13.888888888888889</v>
      </c>
      <c r="M302" s="71">
        <v>12.5</v>
      </c>
      <c r="N302" s="71">
        <v>8.8888888888888893</v>
      </c>
      <c r="O302" s="72" t="s">
        <v>8</v>
      </c>
      <c r="P302" s="18" t="s">
        <v>108</v>
      </c>
    </row>
    <row r="303" spans="1:16" x14ac:dyDescent="0.3">
      <c r="A303" s="50" t="s">
        <v>381</v>
      </c>
      <c r="B303" s="193" t="s">
        <v>224</v>
      </c>
      <c r="C303" s="75">
        <v>470.17852839577654</v>
      </c>
      <c r="D303" s="75">
        <v>489.2761271063859</v>
      </c>
      <c r="E303" s="75">
        <v>502.27859571801594</v>
      </c>
      <c r="F303" s="75">
        <v>467.05962166899133</v>
      </c>
      <c r="G303" s="75">
        <v>433.36998452087926</v>
      </c>
      <c r="H303" s="75">
        <v>405.12069911898266</v>
      </c>
      <c r="I303" s="75">
        <v>438.81767713852128</v>
      </c>
      <c r="J303" s="75">
        <v>432.57138005596642</v>
      </c>
      <c r="K303" s="75">
        <v>447.19485733712474</v>
      </c>
      <c r="L303" s="75">
        <v>370.82866363966303</v>
      </c>
      <c r="M303" s="75">
        <v>362.22222222222223</v>
      </c>
      <c r="N303" s="75">
        <v>452.77777777777783</v>
      </c>
      <c r="O303" s="72" t="s">
        <v>8</v>
      </c>
      <c r="P303" s="18" t="s">
        <v>108</v>
      </c>
    </row>
    <row r="304" spans="1:16" x14ac:dyDescent="0.3">
      <c r="A304" s="24" t="s">
        <v>102</v>
      </c>
      <c r="B304" s="25" t="s">
        <v>103</v>
      </c>
      <c r="C304" s="87">
        <f t="shared" ref="C304:N304" si="21">IFERROR((C289+C290+C291+C293+C294+C296+C297+C298+C299+C300+C301+C302)/C303,"")</f>
        <v>1</v>
      </c>
      <c r="D304" s="87">
        <f t="shared" si="21"/>
        <v>1</v>
      </c>
      <c r="E304" s="87">
        <f t="shared" si="21"/>
        <v>1.0000000000000002</v>
      </c>
      <c r="F304" s="87">
        <f t="shared" si="21"/>
        <v>1</v>
      </c>
      <c r="G304" s="87">
        <f t="shared" si="21"/>
        <v>1</v>
      </c>
      <c r="H304" s="87">
        <f t="shared" si="21"/>
        <v>1.0000000000000002</v>
      </c>
      <c r="I304" s="87">
        <f t="shared" si="21"/>
        <v>0.99999999999999989</v>
      </c>
      <c r="J304" s="87">
        <f t="shared" si="21"/>
        <v>1</v>
      </c>
      <c r="K304" s="87">
        <f t="shared" si="21"/>
        <v>1.0000000000000002</v>
      </c>
      <c r="L304" s="87">
        <f t="shared" si="21"/>
        <v>1.0000000000000002</v>
      </c>
      <c r="M304" s="87">
        <f t="shared" si="21"/>
        <v>0.99999999999999989</v>
      </c>
      <c r="N304" s="87">
        <f t="shared" si="21"/>
        <v>0.99999999999999989</v>
      </c>
      <c r="O304" s="72"/>
      <c r="P304" s="49"/>
    </row>
    <row r="305" spans="1:16" x14ac:dyDescent="0.3">
      <c r="A305" s="49"/>
      <c r="B305" s="49"/>
      <c r="C305" s="87">
        <f t="shared" ref="C305:N305" si="22">IFERROR((C288+C292+C295+C300+C301+C302)/C303,"")</f>
        <v>1.0010981644251067</v>
      </c>
      <c r="D305" s="87">
        <f t="shared" si="22"/>
        <v>1</v>
      </c>
      <c r="E305" s="87">
        <f t="shared" si="22"/>
        <v>1.0000679127309067</v>
      </c>
      <c r="F305" s="87">
        <f t="shared" si="22"/>
        <v>1.000659920506767</v>
      </c>
      <c r="G305" s="87">
        <f t="shared" si="22"/>
        <v>1</v>
      </c>
      <c r="H305" s="87">
        <f t="shared" si="22"/>
        <v>1.0000000000000002</v>
      </c>
      <c r="I305" s="87">
        <f t="shared" si="22"/>
        <v>0.99999999999999989</v>
      </c>
      <c r="J305" s="87">
        <f t="shared" si="22"/>
        <v>1</v>
      </c>
      <c r="K305" s="87">
        <f t="shared" si="22"/>
        <v>1.0000000000000002</v>
      </c>
      <c r="L305" s="87">
        <f t="shared" si="22"/>
        <v>1.0000000000000002</v>
      </c>
      <c r="M305" s="87">
        <f t="shared" si="22"/>
        <v>0.99999999999999989</v>
      </c>
      <c r="N305" s="87">
        <f t="shared" si="22"/>
        <v>0.99999999999999989</v>
      </c>
      <c r="O305" s="72"/>
      <c r="P305" s="49"/>
    </row>
    <row r="306" spans="1:16" ht="15.6" x14ac:dyDescent="0.3">
      <c r="A306" s="8" t="s">
        <v>382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6" x14ac:dyDescent="0.3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6" x14ac:dyDescent="0.3">
      <c r="A308" s="49" t="s">
        <v>383</v>
      </c>
      <c r="B308" s="191" t="s">
        <v>224</v>
      </c>
      <c r="C308" s="71">
        <v>11.749999999999998</v>
      </c>
      <c r="D308" s="71">
        <v>10.894444444444444</v>
      </c>
      <c r="E308" s="71">
        <v>22.644444444444442</v>
      </c>
      <c r="F308" s="71">
        <v>22.644444444444442</v>
      </c>
      <c r="G308" s="71">
        <v>11.749999999999998</v>
      </c>
      <c r="H308" s="71">
        <v>11.749999999999998</v>
      </c>
      <c r="I308" s="71">
        <v>11.749999999999998</v>
      </c>
      <c r="J308" s="71">
        <v>11.749999999999998</v>
      </c>
      <c r="K308" s="71">
        <v>11.749999999999998</v>
      </c>
      <c r="L308" s="71">
        <v>1.175</v>
      </c>
      <c r="M308" s="71">
        <v>0.83333333333333326</v>
      </c>
      <c r="N308" s="71">
        <v>0.83333333333333326</v>
      </c>
      <c r="O308" s="72"/>
      <c r="P308" s="49"/>
    </row>
    <row r="309" spans="1:16" x14ac:dyDescent="0.3">
      <c r="A309" s="64" t="s">
        <v>298</v>
      </c>
      <c r="B309" s="191" t="s">
        <v>224</v>
      </c>
      <c r="C309" s="71">
        <v>11.749999999999998</v>
      </c>
      <c r="D309" s="71">
        <v>0</v>
      </c>
      <c r="E309" s="71">
        <v>11.749999999999998</v>
      </c>
      <c r="F309" s="71">
        <v>11.749999999999998</v>
      </c>
      <c r="G309" s="71">
        <v>11.749999999999998</v>
      </c>
      <c r="H309" s="71">
        <v>11.749999999999998</v>
      </c>
      <c r="I309" s="71">
        <v>11.749999999999998</v>
      </c>
      <c r="J309" s="71">
        <v>11.749999999999998</v>
      </c>
      <c r="K309" s="71">
        <v>11.749999999999998</v>
      </c>
      <c r="L309" s="71">
        <v>1.175</v>
      </c>
      <c r="M309" s="71">
        <v>0.83333333333333326</v>
      </c>
      <c r="N309" s="71">
        <v>0.83333333333333326</v>
      </c>
      <c r="O309" s="72" t="s">
        <v>8</v>
      </c>
      <c r="P309" s="18" t="s">
        <v>108</v>
      </c>
    </row>
    <row r="310" spans="1:16" x14ac:dyDescent="0.3">
      <c r="A310" s="64" t="s">
        <v>110</v>
      </c>
      <c r="B310" s="191" t="s">
        <v>224</v>
      </c>
      <c r="C310" s="71">
        <v>0</v>
      </c>
      <c r="D310" s="71">
        <v>10.894444444444444</v>
      </c>
      <c r="E310" s="71">
        <v>10.894444444444444</v>
      </c>
      <c r="F310" s="71">
        <v>10.894444444444444</v>
      </c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2" t="s">
        <v>8</v>
      </c>
      <c r="P310" s="18" t="s">
        <v>108</v>
      </c>
    </row>
    <row r="311" spans="1:16" x14ac:dyDescent="0.3">
      <c r="A311" s="64" t="s">
        <v>299</v>
      </c>
      <c r="B311" s="191" t="s">
        <v>224</v>
      </c>
      <c r="C311" s="71">
        <v>0</v>
      </c>
      <c r="D311" s="71">
        <v>0</v>
      </c>
      <c r="E311" s="71">
        <v>0</v>
      </c>
      <c r="F311" s="71">
        <v>0</v>
      </c>
      <c r="G311" s="71">
        <v>0</v>
      </c>
      <c r="H311" s="71">
        <v>0</v>
      </c>
      <c r="I311" s="71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72" t="s">
        <v>8</v>
      </c>
      <c r="P311" s="18" t="s">
        <v>108</v>
      </c>
    </row>
    <row r="312" spans="1:16" x14ac:dyDescent="0.3">
      <c r="A312" s="49" t="s">
        <v>384</v>
      </c>
      <c r="B312" s="191" t="s">
        <v>224</v>
      </c>
      <c r="C312" s="71">
        <v>14.269937226185252</v>
      </c>
      <c r="D312" s="71">
        <v>15.020986553879212</v>
      </c>
      <c r="E312" s="71">
        <v>18.525883416451027</v>
      </c>
      <c r="F312" s="71">
        <v>23.032179382614796</v>
      </c>
      <c r="G312" s="71">
        <v>21.530080727226874</v>
      </c>
      <c r="H312" s="71">
        <v>24.283928262104727</v>
      </c>
      <c r="I312" s="71">
        <v>23.032179382614796</v>
      </c>
      <c r="J312" s="71">
        <v>22.030780279022842</v>
      </c>
      <c r="K312" s="71">
        <v>19.539171351278732</v>
      </c>
      <c r="L312" s="71">
        <v>12.771680366992122</v>
      </c>
      <c r="M312" s="71">
        <v>8.6111111111111125</v>
      </c>
      <c r="N312" s="71">
        <v>9.7222222222222214</v>
      </c>
      <c r="O312" s="72"/>
      <c r="P312" s="58"/>
    </row>
    <row r="313" spans="1:16" x14ac:dyDescent="0.3">
      <c r="A313" s="64" t="s">
        <v>301</v>
      </c>
      <c r="B313" s="191" t="s">
        <v>224</v>
      </c>
      <c r="C313" s="71">
        <v>14.269937226185252</v>
      </c>
      <c r="D313" s="71">
        <v>15.020986553879212</v>
      </c>
      <c r="E313" s="71">
        <v>18.525883416451027</v>
      </c>
      <c r="F313" s="71">
        <v>23.032179382614796</v>
      </c>
      <c r="G313" s="71">
        <v>21.530080727226874</v>
      </c>
      <c r="H313" s="71">
        <v>24.283928262104727</v>
      </c>
      <c r="I313" s="71">
        <v>23.032179382614796</v>
      </c>
      <c r="J313" s="71">
        <v>22.030780279022842</v>
      </c>
      <c r="K313" s="71">
        <v>19.539171351278732</v>
      </c>
      <c r="L313" s="71">
        <v>12.771680366992122</v>
      </c>
      <c r="M313" s="71">
        <v>8.6111111111111125</v>
      </c>
      <c r="N313" s="71">
        <v>9.7222222222222214</v>
      </c>
      <c r="O313" s="72" t="s">
        <v>8</v>
      </c>
      <c r="P313" s="18" t="s">
        <v>108</v>
      </c>
    </row>
    <row r="314" spans="1:16" x14ac:dyDescent="0.3">
      <c r="A314" s="64" t="s">
        <v>302</v>
      </c>
      <c r="B314" s="191" t="s">
        <v>224</v>
      </c>
      <c r="C314" s="71">
        <v>0</v>
      </c>
      <c r="D314" s="71">
        <v>0</v>
      </c>
      <c r="E314" s="71">
        <v>0</v>
      </c>
      <c r="F314" s="71">
        <v>0</v>
      </c>
      <c r="G314" s="71">
        <v>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2" t="s">
        <v>8</v>
      </c>
      <c r="P314" s="18" t="s">
        <v>108</v>
      </c>
    </row>
    <row r="315" spans="1:16" x14ac:dyDescent="0.3">
      <c r="A315" s="49" t="s">
        <v>385</v>
      </c>
      <c r="B315" s="191" t="s">
        <v>224</v>
      </c>
      <c r="C315" s="71">
        <v>0</v>
      </c>
      <c r="D315" s="71">
        <v>0</v>
      </c>
      <c r="E315" s="71">
        <v>0</v>
      </c>
      <c r="F315" s="71">
        <v>0</v>
      </c>
      <c r="G315" s="71">
        <v>0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2"/>
      <c r="P315" s="58"/>
    </row>
    <row r="316" spans="1:16" x14ac:dyDescent="0.3">
      <c r="A316" s="64" t="s">
        <v>114</v>
      </c>
      <c r="B316" s="191" t="s">
        <v>224</v>
      </c>
      <c r="C316" s="71">
        <v>0</v>
      </c>
      <c r="D316" s="71">
        <v>0</v>
      </c>
      <c r="E316" s="71">
        <v>0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2" t="s">
        <v>8</v>
      </c>
      <c r="P316" s="18" t="s">
        <v>108</v>
      </c>
    </row>
    <row r="317" spans="1:16" x14ac:dyDescent="0.3">
      <c r="A317" s="64" t="s">
        <v>313</v>
      </c>
      <c r="B317" s="191" t="s">
        <v>224</v>
      </c>
      <c r="C317" s="71">
        <v>0</v>
      </c>
      <c r="D317" s="71">
        <v>0</v>
      </c>
      <c r="E317" s="71">
        <v>0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2" t="s">
        <v>8</v>
      </c>
      <c r="P317" s="18" t="s">
        <v>108</v>
      </c>
    </row>
    <row r="318" spans="1:16" x14ac:dyDescent="0.3">
      <c r="A318" s="64" t="s">
        <v>116</v>
      </c>
      <c r="B318" s="191" t="s">
        <v>224</v>
      </c>
      <c r="C318" s="71">
        <v>0</v>
      </c>
      <c r="D318" s="71">
        <v>0</v>
      </c>
      <c r="E318" s="71">
        <v>0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2" t="s">
        <v>8</v>
      </c>
      <c r="P318" s="18" t="s">
        <v>108</v>
      </c>
    </row>
    <row r="319" spans="1:16" x14ac:dyDescent="0.3">
      <c r="A319" s="64" t="s">
        <v>117</v>
      </c>
      <c r="B319" s="191" t="s">
        <v>224</v>
      </c>
      <c r="C319" s="71">
        <v>0</v>
      </c>
      <c r="D319" s="71">
        <v>0</v>
      </c>
      <c r="E319" s="71">
        <v>0</v>
      </c>
      <c r="F319" s="71">
        <v>0</v>
      </c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2" t="s">
        <v>8</v>
      </c>
      <c r="P319" s="18" t="s">
        <v>108</v>
      </c>
    </row>
    <row r="320" spans="1:16" x14ac:dyDescent="0.3">
      <c r="A320" s="49" t="s">
        <v>386</v>
      </c>
      <c r="B320" s="191" t="s">
        <v>224</v>
      </c>
      <c r="C320" s="71">
        <v>17.5</v>
      </c>
      <c r="D320" s="71">
        <v>10</v>
      </c>
      <c r="E320" s="71">
        <v>17.5</v>
      </c>
      <c r="F320" s="71">
        <v>20.555555555555554</v>
      </c>
      <c r="G320" s="71">
        <v>22.222222222222221</v>
      </c>
      <c r="H320" s="71">
        <v>17.222222222222225</v>
      </c>
      <c r="I320" s="71">
        <v>17.777777777777779</v>
      </c>
      <c r="J320" s="71">
        <v>17.5</v>
      </c>
      <c r="K320" s="71">
        <v>22.5</v>
      </c>
      <c r="L320" s="71">
        <v>19.444444444444443</v>
      </c>
      <c r="M320" s="71">
        <v>20</v>
      </c>
      <c r="N320" s="71">
        <v>22.777777777777779</v>
      </c>
      <c r="O320" s="72" t="s">
        <v>8</v>
      </c>
      <c r="P320" s="18" t="s">
        <v>108</v>
      </c>
    </row>
    <row r="321" spans="1:16" x14ac:dyDescent="0.3">
      <c r="A321" s="49" t="s">
        <v>387</v>
      </c>
      <c r="B321" s="191" t="s">
        <v>224</v>
      </c>
      <c r="C321" s="71">
        <v>40</v>
      </c>
      <c r="D321" s="71">
        <v>44</v>
      </c>
      <c r="E321" s="71">
        <v>61</v>
      </c>
      <c r="F321" s="71">
        <v>70</v>
      </c>
      <c r="G321" s="71">
        <v>61</v>
      </c>
      <c r="H321" s="71">
        <v>65</v>
      </c>
      <c r="I321" s="71">
        <v>67</v>
      </c>
      <c r="J321" s="71">
        <v>72</v>
      </c>
      <c r="K321" s="71">
        <v>82</v>
      </c>
      <c r="L321" s="71">
        <v>59.3</v>
      </c>
      <c r="M321" s="71">
        <v>58.888888888888886</v>
      </c>
      <c r="N321" s="71">
        <v>57.222222222222221</v>
      </c>
      <c r="O321" s="72" t="s">
        <v>8</v>
      </c>
      <c r="P321" s="18" t="s">
        <v>108</v>
      </c>
    </row>
    <row r="322" spans="1:16" x14ac:dyDescent="0.3">
      <c r="A322" s="49" t="s">
        <v>388</v>
      </c>
      <c r="B322" s="191" t="s">
        <v>224</v>
      </c>
      <c r="C322" s="71">
        <v>2.2222222222222223</v>
      </c>
      <c r="D322" s="71">
        <v>1.3888888888888888</v>
      </c>
      <c r="E322" s="71">
        <v>1.6666666666666665</v>
      </c>
      <c r="F322" s="71">
        <v>3.333333333333333</v>
      </c>
      <c r="G322" s="71">
        <v>3.333333333333333</v>
      </c>
      <c r="H322" s="71">
        <v>4.166666666666667</v>
      </c>
      <c r="I322" s="71">
        <v>4.4444444444444446</v>
      </c>
      <c r="J322" s="71">
        <v>3.8888888888888888</v>
      </c>
      <c r="K322" s="71">
        <v>1.9444444444444444</v>
      </c>
      <c r="L322" s="71">
        <v>4.7777777777777777</v>
      </c>
      <c r="M322" s="71">
        <v>4.166666666666667</v>
      </c>
      <c r="N322" s="71">
        <v>5.2777777777777777</v>
      </c>
      <c r="O322" s="72" t="s">
        <v>8</v>
      </c>
      <c r="P322" s="18" t="s">
        <v>108</v>
      </c>
    </row>
    <row r="323" spans="1:16" x14ac:dyDescent="0.3">
      <c r="A323" s="50" t="s">
        <v>389</v>
      </c>
      <c r="B323" s="193" t="s">
        <v>224</v>
      </c>
      <c r="C323" s="75">
        <v>85.724730000000008</v>
      </c>
      <c r="D323" s="75">
        <v>81.282070000000004</v>
      </c>
      <c r="E323" s="75">
        <v>121.31253</v>
      </c>
      <c r="F323" s="75">
        <v>139.53674000000001</v>
      </c>
      <c r="G323" s="75">
        <v>119.80063000000001</v>
      </c>
      <c r="H323" s="75">
        <v>122.39412</v>
      </c>
      <c r="I323" s="75">
        <v>123.97579999999999</v>
      </c>
      <c r="J323" s="75">
        <v>127.13916</v>
      </c>
      <c r="K323" s="75">
        <v>137.73409000000001</v>
      </c>
      <c r="L323" s="75">
        <v>97.468902589214338</v>
      </c>
      <c r="M323" s="75">
        <v>92.5</v>
      </c>
      <c r="N323" s="75">
        <v>95.833333333333343</v>
      </c>
      <c r="O323" s="72" t="s">
        <v>8</v>
      </c>
      <c r="P323" s="18" t="s">
        <v>108</v>
      </c>
    </row>
    <row r="324" spans="1:16" x14ac:dyDescent="0.3">
      <c r="A324" s="24" t="s">
        <v>102</v>
      </c>
      <c r="B324" s="25" t="s">
        <v>103</v>
      </c>
      <c r="C324" s="87">
        <f t="shared" ref="C324:N324" si="23">IFERROR((C309+C310+C311+C313+C314+C316+C317+C318+C319+C320+C321+C322)/C323,"")</f>
        <v>1.0002033187903592</v>
      </c>
      <c r="D324" s="87">
        <f t="shared" si="23"/>
        <v>1.0002737367197039</v>
      </c>
      <c r="E324" s="87">
        <f t="shared" si="23"/>
        <v>1.0002016652984003</v>
      </c>
      <c r="F324" s="87">
        <f t="shared" si="23"/>
        <v>1.0002062017211246</v>
      </c>
      <c r="G324" s="87">
        <f t="shared" si="23"/>
        <v>1.0002922044966076</v>
      </c>
      <c r="H324" s="87">
        <f t="shared" si="23"/>
        <v>1.0002344651115072</v>
      </c>
      <c r="I324" s="87">
        <f t="shared" si="23"/>
        <v>1.0002307031278446</v>
      </c>
      <c r="J324" s="87">
        <f t="shared" si="23"/>
        <v>1.0002399667255293</v>
      </c>
      <c r="K324" s="87">
        <f t="shared" si="23"/>
        <v>0.99999655710306123</v>
      </c>
      <c r="L324" s="87">
        <f t="shared" si="23"/>
        <v>1</v>
      </c>
      <c r="M324" s="87">
        <f t="shared" si="23"/>
        <v>1</v>
      </c>
      <c r="N324" s="87">
        <f t="shared" si="23"/>
        <v>0.99999999999999989</v>
      </c>
      <c r="O324" s="72"/>
      <c r="P324" s="49"/>
    </row>
    <row r="325" spans="1:16" x14ac:dyDescent="0.3">
      <c r="A325" s="49"/>
      <c r="B325" s="49"/>
      <c r="C325" s="87">
        <f t="shared" ref="C325:N325" si="24">IFERROR((C308+C312+C315+C320+C321+C322)/C323,"")</f>
        <v>1.0002033187903592</v>
      </c>
      <c r="D325" s="87">
        <f t="shared" si="24"/>
        <v>1.0002737367197039</v>
      </c>
      <c r="E325" s="87">
        <f t="shared" si="24"/>
        <v>1.0002016652984003</v>
      </c>
      <c r="F325" s="87">
        <f t="shared" si="24"/>
        <v>1.0002062017211246</v>
      </c>
      <c r="G325" s="87">
        <f t="shared" si="24"/>
        <v>1.0002922044966076</v>
      </c>
      <c r="H325" s="87">
        <f t="shared" si="24"/>
        <v>1.0002344651115072</v>
      </c>
      <c r="I325" s="87">
        <f t="shared" si="24"/>
        <v>1.0002307031278446</v>
      </c>
      <c r="J325" s="87">
        <f t="shared" si="24"/>
        <v>1.0002399667255293</v>
      </c>
      <c r="K325" s="87">
        <f t="shared" si="24"/>
        <v>0.99999655710306123</v>
      </c>
      <c r="L325" s="87">
        <f t="shared" si="24"/>
        <v>1</v>
      </c>
      <c r="M325" s="87">
        <f t="shared" si="24"/>
        <v>1</v>
      </c>
      <c r="N325" s="87">
        <f t="shared" si="24"/>
        <v>0.99999999999999989</v>
      </c>
      <c r="O325" s="72"/>
      <c r="P325" s="49"/>
    </row>
    <row r="326" spans="1:16" ht="15.6" x14ac:dyDescent="0.3">
      <c r="A326" s="8" t="s">
        <v>390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spans="1:16" x14ac:dyDescent="0.3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72"/>
      <c r="P327" s="49"/>
    </row>
    <row r="328" spans="1:16" x14ac:dyDescent="0.3">
      <c r="A328" s="49" t="s">
        <v>383</v>
      </c>
      <c r="B328" s="191" t="s">
        <v>224</v>
      </c>
      <c r="C328" s="71">
        <v>23.26</v>
      </c>
      <c r="D328" s="71">
        <v>0</v>
      </c>
      <c r="E328" s="71">
        <v>47.682999999999993</v>
      </c>
      <c r="F328" s="71">
        <v>11.63</v>
      </c>
      <c r="G328" s="71">
        <v>11.749999999999998</v>
      </c>
      <c r="H328" s="71">
        <v>24.389444444444443</v>
      </c>
      <c r="I328" s="71">
        <v>11.749999999999998</v>
      </c>
      <c r="J328" s="71">
        <v>24.388888888888886</v>
      </c>
      <c r="K328" s="71">
        <v>24.388888888888886</v>
      </c>
      <c r="L328" s="71">
        <v>13.813888888888888</v>
      </c>
      <c r="M328" s="71">
        <v>7.2222222222222223</v>
      </c>
      <c r="N328" s="71">
        <v>0</v>
      </c>
      <c r="O328" s="72" t="s">
        <v>8</v>
      </c>
      <c r="P328" s="18" t="s">
        <v>108</v>
      </c>
    </row>
    <row r="329" spans="1:16" x14ac:dyDescent="0.3">
      <c r="A329" s="64" t="s">
        <v>298</v>
      </c>
      <c r="B329" s="191" t="s">
        <v>224</v>
      </c>
      <c r="C329" s="71">
        <v>23.499999999999996</v>
      </c>
      <c r="D329" s="71">
        <v>0</v>
      </c>
      <c r="E329" s="71">
        <v>35.25</v>
      </c>
      <c r="F329" s="71">
        <v>11.749999999999998</v>
      </c>
      <c r="G329" s="71">
        <v>11.749999999999998</v>
      </c>
      <c r="H329" s="71">
        <v>11.750277777777779</v>
      </c>
      <c r="I329" s="71">
        <v>11.749999999999998</v>
      </c>
      <c r="J329" s="71">
        <v>11.749999999999998</v>
      </c>
      <c r="K329" s="71">
        <v>11.749999999999998</v>
      </c>
      <c r="L329" s="71">
        <v>1.175</v>
      </c>
      <c r="M329" s="71">
        <v>2.5</v>
      </c>
      <c r="N329" s="71">
        <v>0</v>
      </c>
      <c r="O329" s="72" t="s">
        <v>8</v>
      </c>
      <c r="P329" s="18" t="s">
        <v>108</v>
      </c>
    </row>
    <row r="330" spans="1:16" x14ac:dyDescent="0.3">
      <c r="A330" s="64" t="s">
        <v>110</v>
      </c>
      <c r="B330" s="191" t="s">
        <v>224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  <c r="O330" s="72" t="s">
        <v>8</v>
      </c>
      <c r="P330" s="18" t="s">
        <v>108</v>
      </c>
    </row>
    <row r="331" spans="1:16" x14ac:dyDescent="0.3">
      <c r="A331" s="64" t="s">
        <v>299</v>
      </c>
      <c r="B331" s="191" t="s">
        <v>224</v>
      </c>
      <c r="C331" s="71">
        <v>0</v>
      </c>
      <c r="D331" s="71">
        <v>0</v>
      </c>
      <c r="E331" s="71">
        <v>12.638888888888889</v>
      </c>
      <c r="F331" s="71">
        <v>0</v>
      </c>
      <c r="G331" s="71">
        <v>0</v>
      </c>
      <c r="H331" s="71">
        <v>12.639166666666666</v>
      </c>
      <c r="I331" s="71">
        <v>0</v>
      </c>
      <c r="J331" s="71">
        <v>12.638888888888889</v>
      </c>
      <c r="K331" s="71">
        <v>12.638888888888889</v>
      </c>
      <c r="L331" s="71">
        <v>12.638888888888889</v>
      </c>
      <c r="M331" s="71">
        <v>4.7222222222222223</v>
      </c>
      <c r="N331" s="71">
        <v>0</v>
      </c>
      <c r="O331" s="72"/>
      <c r="P331" s="58"/>
    </row>
    <row r="332" spans="1:16" x14ac:dyDescent="0.3">
      <c r="A332" s="49" t="s">
        <v>384</v>
      </c>
      <c r="B332" s="191" t="s">
        <v>224</v>
      </c>
      <c r="C332" s="71">
        <v>44.988306576488881</v>
      </c>
      <c r="D332" s="71">
        <v>60.984148914796037</v>
      </c>
      <c r="E332" s="71">
        <v>68.732135047413564</v>
      </c>
      <c r="F332" s="71">
        <v>68.232264974341476</v>
      </c>
      <c r="G332" s="71">
        <v>42.988826284200492</v>
      </c>
      <c r="H332" s="71">
        <v>36.740450370799259</v>
      </c>
      <c r="I332" s="71">
        <v>45.238241613024933</v>
      </c>
      <c r="J332" s="71">
        <v>34.740970078510863</v>
      </c>
      <c r="K332" s="71">
        <v>44.077043433278455</v>
      </c>
      <c r="L332" s="71">
        <v>38.814911174048468</v>
      </c>
      <c r="M332" s="71">
        <v>6.3888888888888884</v>
      </c>
      <c r="N332" s="71">
        <v>19.444444444444443</v>
      </c>
      <c r="O332" s="72" t="s">
        <v>8</v>
      </c>
      <c r="P332" s="18" t="s">
        <v>108</v>
      </c>
    </row>
    <row r="333" spans="1:16" x14ac:dyDescent="0.3">
      <c r="A333" s="64" t="s">
        <v>301</v>
      </c>
      <c r="B333" s="191" t="s">
        <v>224</v>
      </c>
      <c r="C333" s="71">
        <v>44.988306576488881</v>
      </c>
      <c r="D333" s="71">
        <v>60.984148914796037</v>
      </c>
      <c r="E333" s="71">
        <v>68.732135047413564</v>
      </c>
      <c r="F333" s="71">
        <v>68.232264974341476</v>
      </c>
      <c r="G333" s="71">
        <v>42.988826284200492</v>
      </c>
      <c r="H333" s="71">
        <v>36.740450370799259</v>
      </c>
      <c r="I333" s="71">
        <v>45.238241613024933</v>
      </c>
      <c r="J333" s="71">
        <v>34.740970078510863</v>
      </c>
      <c r="K333" s="71">
        <v>44.077043433278455</v>
      </c>
      <c r="L333" s="71">
        <v>38.814911174048468</v>
      </c>
      <c r="M333" s="71">
        <v>6.3888888888888884</v>
      </c>
      <c r="N333" s="71">
        <v>19.444444444444443</v>
      </c>
      <c r="O333" s="72" t="s">
        <v>8</v>
      </c>
      <c r="P333" s="18" t="s">
        <v>108</v>
      </c>
    </row>
    <row r="334" spans="1:16" x14ac:dyDescent="0.3">
      <c r="A334" s="64" t="s">
        <v>302</v>
      </c>
      <c r="B334" s="191" t="s">
        <v>224</v>
      </c>
      <c r="C334" s="71">
        <v>0</v>
      </c>
      <c r="D334" s="71">
        <v>0</v>
      </c>
      <c r="E334" s="71">
        <v>0</v>
      </c>
      <c r="F334" s="71">
        <v>0</v>
      </c>
      <c r="G334" s="71">
        <v>0</v>
      </c>
      <c r="H334" s="71">
        <v>0</v>
      </c>
      <c r="I334" s="71">
        <v>0</v>
      </c>
      <c r="J334" s="71">
        <v>0</v>
      </c>
      <c r="K334" s="71">
        <v>0</v>
      </c>
      <c r="L334" s="71">
        <v>0</v>
      </c>
      <c r="M334" s="71">
        <v>0</v>
      </c>
      <c r="N334" s="71">
        <v>0</v>
      </c>
      <c r="O334" s="72"/>
      <c r="P334" s="58"/>
    </row>
    <row r="335" spans="1:16" x14ac:dyDescent="0.3">
      <c r="A335" s="49" t="s">
        <v>385</v>
      </c>
      <c r="B335" s="191" t="s">
        <v>224</v>
      </c>
      <c r="C335" s="71">
        <v>0</v>
      </c>
      <c r="D335" s="71">
        <v>0</v>
      </c>
      <c r="E335" s="71">
        <v>0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2" t="s">
        <v>8</v>
      </c>
      <c r="P335" s="18" t="s">
        <v>108</v>
      </c>
    </row>
    <row r="336" spans="1:16" x14ac:dyDescent="0.3">
      <c r="A336" s="64" t="s">
        <v>114</v>
      </c>
      <c r="B336" s="191" t="s">
        <v>224</v>
      </c>
      <c r="C336" s="71">
        <v>0</v>
      </c>
      <c r="D336" s="71">
        <v>0</v>
      </c>
      <c r="E336" s="71">
        <v>0</v>
      </c>
      <c r="F336" s="71">
        <v>0</v>
      </c>
      <c r="G336" s="71">
        <v>0</v>
      </c>
      <c r="H336" s="71">
        <v>0</v>
      </c>
      <c r="I336" s="71">
        <v>0</v>
      </c>
      <c r="J336" s="71">
        <v>0</v>
      </c>
      <c r="K336" s="71">
        <v>0</v>
      </c>
      <c r="L336" s="71">
        <v>0</v>
      </c>
      <c r="M336" s="71">
        <v>0</v>
      </c>
      <c r="N336" s="71">
        <v>0</v>
      </c>
      <c r="O336" s="72" t="s">
        <v>8</v>
      </c>
      <c r="P336" s="18" t="s">
        <v>108</v>
      </c>
    </row>
    <row r="337" spans="1:16" x14ac:dyDescent="0.3">
      <c r="A337" s="64" t="s">
        <v>313</v>
      </c>
      <c r="B337" s="191" t="s">
        <v>224</v>
      </c>
      <c r="C337" s="71">
        <v>0</v>
      </c>
      <c r="D337" s="71">
        <v>0</v>
      </c>
      <c r="E337" s="71">
        <v>0</v>
      </c>
      <c r="F337" s="71">
        <v>0</v>
      </c>
      <c r="G337" s="71">
        <v>0</v>
      </c>
      <c r="H337" s="71">
        <v>0</v>
      </c>
      <c r="I337" s="71">
        <v>0</v>
      </c>
      <c r="J337" s="71">
        <v>0</v>
      </c>
      <c r="K337" s="71">
        <v>0</v>
      </c>
      <c r="L337" s="71">
        <v>0</v>
      </c>
      <c r="M337" s="71">
        <v>0</v>
      </c>
      <c r="N337" s="71">
        <v>0</v>
      </c>
      <c r="O337" s="72" t="s">
        <v>8</v>
      </c>
      <c r="P337" s="18" t="s">
        <v>108</v>
      </c>
    </row>
    <row r="338" spans="1:16" x14ac:dyDescent="0.3">
      <c r="A338" s="64" t="s">
        <v>116</v>
      </c>
      <c r="B338" s="191" t="s">
        <v>224</v>
      </c>
      <c r="C338" s="71">
        <v>0</v>
      </c>
      <c r="D338" s="71">
        <v>0</v>
      </c>
      <c r="E338" s="71">
        <v>0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1">
        <v>0</v>
      </c>
      <c r="L338" s="71">
        <v>0</v>
      </c>
      <c r="M338" s="71">
        <v>0</v>
      </c>
      <c r="N338" s="71">
        <v>0</v>
      </c>
      <c r="O338" s="72" t="s">
        <v>8</v>
      </c>
      <c r="P338" s="18" t="s">
        <v>108</v>
      </c>
    </row>
    <row r="339" spans="1:16" x14ac:dyDescent="0.3">
      <c r="A339" s="64" t="s">
        <v>117</v>
      </c>
      <c r="B339" s="191" t="s">
        <v>224</v>
      </c>
      <c r="C339" s="71">
        <v>0</v>
      </c>
      <c r="D339" s="71">
        <v>0</v>
      </c>
      <c r="E339" s="71">
        <v>0</v>
      </c>
      <c r="F339" s="71">
        <v>0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0</v>
      </c>
      <c r="N339" s="71">
        <v>0</v>
      </c>
      <c r="O339" s="72" t="s">
        <v>8</v>
      </c>
      <c r="P339" s="18" t="s">
        <v>108</v>
      </c>
    </row>
    <row r="340" spans="1:16" x14ac:dyDescent="0.3">
      <c r="A340" s="49" t="s">
        <v>386</v>
      </c>
      <c r="B340" s="191" t="s">
        <v>224</v>
      </c>
      <c r="C340" s="71">
        <v>66.666666666666671</v>
      </c>
      <c r="D340" s="71">
        <v>30.555555555555554</v>
      </c>
      <c r="E340" s="71">
        <v>16.388888888888889</v>
      </c>
      <c r="F340" s="71">
        <v>11.111111111111111</v>
      </c>
      <c r="G340" s="71">
        <v>17.222222222222225</v>
      </c>
      <c r="H340" s="71">
        <v>26.666666666666664</v>
      </c>
      <c r="I340" s="71">
        <v>31.388888888888889</v>
      </c>
      <c r="J340" s="71">
        <v>29.166666666666664</v>
      </c>
      <c r="K340" s="71">
        <v>25.277777777777779</v>
      </c>
      <c r="L340" s="71">
        <v>25.833333333333329</v>
      </c>
      <c r="M340" s="71">
        <v>25</v>
      </c>
      <c r="N340" s="71">
        <v>7.2222222222222223</v>
      </c>
      <c r="O340" s="72" t="s">
        <v>8</v>
      </c>
      <c r="P340" s="18" t="s">
        <v>108</v>
      </c>
    </row>
    <row r="341" spans="1:16" x14ac:dyDescent="0.3">
      <c r="A341" s="49" t="s">
        <v>387</v>
      </c>
      <c r="B341" s="191" t="s">
        <v>224</v>
      </c>
      <c r="C341" s="71">
        <v>179</v>
      </c>
      <c r="D341" s="71">
        <v>195</v>
      </c>
      <c r="E341" s="71">
        <v>209</v>
      </c>
      <c r="F341" s="71">
        <v>177</v>
      </c>
      <c r="G341" s="71">
        <v>181</v>
      </c>
      <c r="H341" s="71">
        <v>185</v>
      </c>
      <c r="I341" s="71">
        <v>200</v>
      </c>
      <c r="J341" s="71">
        <v>192</v>
      </c>
      <c r="K341" s="71">
        <v>179</v>
      </c>
      <c r="L341" s="71">
        <v>158.19999999999999</v>
      </c>
      <c r="M341" s="71">
        <v>163.61111111111111</v>
      </c>
      <c r="N341" s="71">
        <v>183.61111111111111</v>
      </c>
      <c r="O341" s="72" t="s">
        <v>8</v>
      </c>
      <c r="P341" s="18" t="s">
        <v>108</v>
      </c>
    </row>
    <row r="342" spans="1:16" x14ac:dyDescent="0.3">
      <c r="A342" s="49" t="s">
        <v>388</v>
      </c>
      <c r="B342" s="191" t="s">
        <v>224</v>
      </c>
      <c r="C342" s="71">
        <v>225.00000000000003</v>
      </c>
      <c r="D342" s="71">
        <v>235.27777777777777</v>
      </c>
      <c r="E342" s="71">
        <v>137.5</v>
      </c>
      <c r="F342" s="71">
        <v>50.277777777777779</v>
      </c>
      <c r="G342" s="71">
        <v>55.555555555555557</v>
      </c>
      <c r="H342" s="71">
        <v>125</v>
      </c>
      <c r="I342" s="71">
        <v>5.2777777777777777</v>
      </c>
      <c r="J342" s="71">
        <v>5.5555555555555554</v>
      </c>
      <c r="K342" s="71">
        <v>4.7222222222222223</v>
      </c>
      <c r="L342" s="71">
        <v>5.3888888888888884</v>
      </c>
      <c r="M342" s="71">
        <v>6.9444444444444446</v>
      </c>
      <c r="N342" s="71">
        <v>13.888888888888889</v>
      </c>
      <c r="O342" s="72" t="s">
        <v>8</v>
      </c>
      <c r="P342" s="18" t="s">
        <v>108</v>
      </c>
    </row>
    <row r="343" spans="1:16" x14ac:dyDescent="0.3">
      <c r="A343" s="50" t="s">
        <v>389</v>
      </c>
      <c r="B343" s="193" t="s">
        <v>224</v>
      </c>
      <c r="C343" s="75">
        <v>539.15497324315561</v>
      </c>
      <c r="D343" s="75">
        <v>521.81748224812941</v>
      </c>
      <c r="E343" s="75">
        <v>479.50991282519135</v>
      </c>
      <c r="F343" s="75">
        <v>318.3711538632304</v>
      </c>
      <c r="G343" s="75">
        <v>308.51660406197828</v>
      </c>
      <c r="H343" s="75">
        <v>397.79600592635484</v>
      </c>
      <c r="I343" s="75">
        <v>293.65490827969154</v>
      </c>
      <c r="J343" s="75">
        <v>285.85208118962197</v>
      </c>
      <c r="K343" s="75">
        <v>277.46593232216736</v>
      </c>
      <c r="L343" s="75">
        <v>242.0510222851596</v>
      </c>
      <c r="M343" s="75">
        <v>209.16666666666663</v>
      </c>
      <c r="N343" s="75">
        <v>224.16666666666663</v>
      </c>
      <c r="O343" s="72"/>
      <c r="P343" s="49"/>
    </row>
    <row r="344" spans="1:16" x14ac:dyDescent="0.3">
      <c r="A344" s="24" t="s">
        <v>102</v>
      </c>
      <c r="B344" s="25" t="s">
        <v>103</v>
      </c>
      <c r="C344" s="87">
        <f t="shared" ref="C344:N344" si="25">IFERROR((C329+C330+C331+C333+C334+C336+C337+C338+C339+C340+C341+C342)/C343,"")</f>
        <v>1</v>
      </c>
      <c r="D344" s="87">
        <f t="shared" si="25"/>
        <v>1</v>
      </c>
      <c r="E344" s="87">
        <f t="shared" si="25"/>
        <v>1</v>
      </c>
      <c r="F344" s="87">
        <f t="shared" si="25"/>
        <v>0.99999999999999978</v>
      </c>
      <c r="G344" s="87">
        <f t="shared" si="25"/>
        <v>1</v>
      </c>
      <c r="H344" s="87">
        <f t="shared" si="25"/>
        <v>1.0000013965840462</v>
      </c>
      <c r="I344" s="87">
        <f t="shared" si="25"/>
        <v>1.0000000000000002</v>
      </c>
      <c r="J344" s="87">
        <f t="shared" si="25"/>
        <v>1</v>
      </c>
      <c r="K344" s="87">
        <f t="shared" si="25"/>
        <v>1</v>
      </c>
      <c r="L344" s="87">
        <f t="shared" si="25"/>
        <v>0.99999999999999989</v>
      </c>
      <c r="M344" s="87">
        <f t="shared" si="25"/>
        <v>1.0000000000000002</v>
      </c>
      <c r="N344" s="87">
        <f t="shared" si="25"/>
        <v>1.0000000000000002</v>
      </c>
      <c r="O344" s="72"/>
      <c r="P344" s="49"/>
    </row>
    <row r="345" spans="1:16" x14ac:dyDescent="0.3">
      <c r="A345" s="49"/>
      <c r="B345" s="49"/>
      <c r="C345" s="87">
        <f t="shared" ref="C345:N345" si="26">IFERROR((C328+C332+C335+C340+C341+C342)/C343,"")</f>
        <v>0.99955485897022089</v>
      </c>
      <c r="D345" s="87">
        <f t="shared" si="26"/>
        <v>1</v>
      </c>
      <c r="E345" s="87">
        <f t="shared" si="26"/>
        <v>0.99957062641796945</v>
      </c>
      <c r="F345" s="87">
        <f t="shared" si="26"/>
        <v>0.99962308143013601</v>
      </c>
      <c r="G345" s="87">
        <f t="shared" si="26"/>
        <v>1</v>
      </c>
      <c r="H345" s="87">
        <f t="shared" si="26"/>
        <v>1.0000013965840462</v>
      </c>
      <c r="I345" s="87">
        <f t="shared" si="26"/>
        <v>1.0000000000000002</v>
      </c>
      <c r="J345" s="87">
        <f t="shared" si="26"/>
        <v>1</v>
      </c>
      <c r="K345" s="87">
        <f t="shared" si="26"/>
        <v>1</v>
      </c>
      <c r="L345" s="87">
        <f t="shared" si="26"/>
        <v>0.99999999999999989</v>
      </c>
      <c r="M345" s="87">
        <f t="shared" si="26"/>
        <v>1.0000000000000002</v>
      </c>
      <c r="N345" s="87">
        <f t="shared" si="26"/>
        <v>1.0000000000000002</v>
      </c>
      <c r="O345" s="49"/>
      <c r="P345" s="49"/>
    </row>
    <row r="346" spans="1:16" x14ac:dyDescent="0.3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spans="1:16" ht="18" x14ac:dyDescent="0.35">
      <c r="A347" s="48" t="s">
        <v>391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x14ac:dyDescent="0.3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spans="1:16" ht="15.6" x14ac:dyDescent="0.3">
      <c r="A349" s="8" t="s">
        <v>392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spans="1:16" x14ac:dyDescent="0.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spans="1:16" x14ac:dyDescent="0.3">
      <c r="A351" s="49" t="s">
        <v>393</v>
      </c>
      <c r="B351" s="191" t="s">
        <v>224</v>
      </c>
      <c r="C351" s="71">
        <v>46.999999999999993</v>
      </c>
      <c r="D351" s="71">
        <v>46.999999999999993</v>
      </c>
      <c r="E351" s="71">
        <v>70.5</v>
      </c>
      <c r="F351" s="71">
        <v>70.5</v>
      </c>
      <c r="G351" s="71">
        <v>58.75</v>
      </c>
      <c r="H351" s="71">
        <v>58.751388888888883</v>
      </c>
      <c r="I351" s="71">
        <v>58.75</v>
      </c>
      <c r="J351" s="71">
        <v>47.001111111111115</v>
      </c>
      <c r="K351" s="71">
        <v>35.250833333333333</v>
      </c>
      <c r="L351" s="71">
        <v>11.838888888888889</v>
      </c>
      <c r="M351" s="71">
        <v>5.5555555555555554</v>
      </c>
      <c r="N351" s="71">
        <v>6.1111111111111107</v>
      </c>
      <c r="O351" s="72" t="s">
        <v>8</v>
      </c>
      <c r="P351" s="18" t="s">
        <v>108</v>
      </c>
    </row>
    <row r="352" spans="1:16" x14ac:dyDescent="0.3">
      <c r="A352" s="64" t="s">
        <v>298</v>
      </c>
      <c r="B352" s="191" t="s">
        <v>224</v>
      </c>
      <c r="C352" s="71">
        <v>46.999999999999993</v>
      </c>
      <c r="D352" s="71">
        <v>46.999999999999993</v>
      </c>
      <c r="E352" s="71">
        <v>70.5</v>
      </c>
      <c r="F352" s="71">
        <v>70.5</v>
      </c>
      <c r="G352" s="71">
        <v>58.75</v>
      </c>
      <c r="H352" s="71">
        <v>58.751388888888883</v>
      </c>
      <c r="I352" s="71">
        <v>58.75</v>
      </c>
      <c r="J352" s="71">
        <v>47.001111111111115</v>
      </c>
      <c r="K352" s="71">
        <v>35.250833333333333</v>
      </c>
      <c r="L352" s="71">
        <v>10.574999999999999</v>
      </c>
      <c r="M352" s="71">
        <v>4.166666666666667</v>
      </c>
      <c r="N352" s="71">
        <v>4.7222222222222223</v>
      </c>
      <c r="O352" s="72" t="s">
        <v>8</v>
      </c>
      <c r="P352" s="18" t="s">
        <v>108</v>
      </c>
    </row>
    <row r="353" spans="1:16" x14ac:dyDescent="0.3">
      <c r="A353" s="64" t="s">
        <v>110</v>
      </c>
      <c r="B353" s="191" t="s">
        <v>224</v>
      </c>
      <c r="C353" s="71">
        <v>0</v>
      </c>
      <c r="D353" s="71">
        <v>0</v>
      </c>
      <c r="E353" s="71">
        <v>0</v>
      </c>
      <c r="F353" s="71">
        <v>0</v>
      </c>
      <c r="G353" s="71">
        <v>0</v>
      </c>
      <c r="H353" s="71">
        <v>0</v>
      </c>
      <c r="I353" s="71">
        <v>0</v>
      </c>
      <c r="J353" s="71">
        <v>0</v>
      </c>
      <c r="K353" s="71">
        <v>0</v>
      </c>
      <c r="L353" s="71">
        <v>0</v>
      </c>
      <c r="M353" s="71">
        <v>0</v>
      </c>
      <c r="N353" s="71">
        <v>0</v>
      </c>
      <c r="O353" s="72" t="s">
        <v>8</v>
      </c>
      <c r="P353" s="18" t="s">
        <v>108</v>
      </c>
    </row>
    <row r="354" spans="1:16" x14ac:dyDescent="0.3">
      <c r="A354" s="64" t="s">
        <v>299</v>
      </c>
      <c r="B354" s="191" t="s">
        <v>224</v>
      </c>
      <c r="C354" s="71">
        <v>0</v>
      </c>
      <c r="D354" s="71">
        <v>0</v>
      </c>
      <c r="E354" s="71">
        <v>0</v>
      </c>
      <c r="F354" s="71">
        <v>0</v>
      </c>
      <c r="G354" s="71">
        <v>0</v>
      </c>
      <c r="H354" s="71">
        <v>0</v>
      </c>
      <c r="I354" s="71">
        <v>0</v>
      </c>
      <c r="J354" s="71">
        <v>0</v>
      </c>
      <c r="K354" s="71">
        <v>0</v>
      </c>
      <c r="L354" s="71">
        <v>1.2638888888888888</v>
      </c>
      <c r="M354" s="71">
        <v>1.3888888888888888</v>
      </c>
      <c r="N354" s="71">
        <v>1.3888888888888888</v>
      </c>
      <c r="O354" s="72"/>
      <c r="P354" s="58"/>
    </row>
    <row r="355" spans="1:16" x14ac:dyDescent="0.3">
      <c r="A355" s="49" t="s">
        <v>394</v>
      </c>
      <c r="B355" s="191" t="s">
        <v>224</v>
      </c>
      <c r="C355" s="71">
        <v>41.23928102844814</v>
      </c>
      <c r="D355" s="71">
        <v>54.235902928322702</v>
      </c>
      <c r="E355" s="71">
        <v>65.732914608980977</v>
      </c>
      <c r="F355" s="71">
        <v>74.730575924278767</v>
      </c>
      <c r="G355" s="71">
        <v>57.485058403291347</v>
      </c>
      <c r="H355" s="71">
        <v>49.737072270673828</v>
      </c>
      <c r="I355" s="71">
        <v>63.733434316692581</v>
      </c>
      <c r="J355" s="71">
        <v>49.987007307209872</v>
      </c>
      <c r="K355" s="71">
        <v>57.250619339020545</v>
      </c>
      <c r="L355" s="71">
        <v>60.059389279612667</v>
      </c>
      <c r="M355" s="71">
        <v>31.388888888888889</v>
      </c>
      <c r="N355" s="71">
        <v>44.722222222222221</v>
      </c>
      <c r="O355" s="72" t="s">
        <v>8</v>
      </c>
      <c r="P355" s="18" t="s">
        <v>108</v>
      </c>
    </row>
    <row r="356" spans="1:16" x14ac:dyDescent="0.3">
      <c r="A356" s="64" t="s">
        <v>301</v>
      </c>
      <c r="B356" s="191" t="s">
        <v>224</v>
      </c>
      <c r="C356" s="71">
        <v>41.23928102844814</v>
      </c>
      <c r="D356" s="71">
        <v>54.235902928322702</v>
      </c>
      <c r="E356" s="71">
        <v>65.732914608980977</v>
      </c>
      <c r="F356" s="71">
        <v>74.730575924278767</v>
      </c>
      <c r="G356" s="71">
        <v>57.485058403291347</v>
      </c>
      <c r="H356" s="71">
        <v>49.737072270673828</v>
      </c>
      <c r="I356" s="71">
        <v>63.733434316692581</v>
      </c>
      <c r="J356" s="71">
        <v>49.987007307209872</v>
      </c>
      <c r="K356" s="71">
        <v>57.250619339020545</v>
      </c>
      <c r="L356" s="71">
        <v>60.059389279612667</v>
      </c>
      <c r="M356" s="71">
        <v>31.388888888888889</v>
      </c>
      <c r="N356" s="71">
        <v>44.722222222222221</v>
      </c>
      <c r="O356" s="72" t="s">
        <v>8</v>
      </c>
      <c r="P356" s="18" t="s">
        <v>108</v>
      </c>
    </row>
    <row r="357" spans="1:16" x14ac:dyDescent="0.3">
      <c r="A357" s="64" t="s">
        <v>302</v>
      </c>
      <c r="B357" s="191" t="s">
        <v>224</v>
      </c>
      <c r="C357" s="71">
        <v>0</v>
      </c>
      <c r="D357" s="71">
        <v>0</v>
      </c>
      <c r="E357" s="71">
        <v>0</v>
      </c>
      <c r="F357" s="71">
        <v>0</v>
      </c>
      <c r="G357" s="71">
        <v>0</v>
      </c>
      <c r="H357" s="71">
        <v>0</v>
      </c>
      <c r="I357" s="71">
        <v>0</v>
      </c>
      <c r="J357" s="71">
        <v>0</v>
      </c>
      <c r="K357" s="71">
        <v>0</v>
      </c>
      <c r="L357" s="71">
        <v>0</v>
      </c>
      <c r="M357" s="71">
        <v>0</v>
      </c>
      <c r="N357" s="71">
        <v>0</v>
      </c>
      <c r="O357" s="72"/>
      <c r="P357" s="58"/>
    </row>
    <row r="358" spans="1:16" x14ac:dyDescent="0.3">
      <c r="A358" s="49" t="s">
        <v>395</v>
      </c>
      <c r="B358" s="191" t="s">
        <v>224</v>
      </c>
      <c r="C358" s="71">
        <v>0</v>
      </c>
      <c r="D358" s="71">
        <v>0</v>
      </c>
      <c r="E358" s="71">
        <v>0</v>
      </c>
      <c r="F358" s="71">
        <v>0</v>
      </c>
      <c r="G358" s="71">
        <v>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2" t="s">
        <v>8</v>
      </c>
      <c r="P358" s="18" t="s">
        <v>108</v>
      </c>
    </row>
    <row r="359" spans="1:16" x14ac:dyDescent="0.3">
      <c r="A359" s="64" t="s">
        <v>114</v>
      </c>
      <c r="B359" s="191" t="s">
        <v>224</v>
      </c>
      <c r="C359" s="71">
        <v>0</v>
      </c>
      <c r="D359" s="71">
        <v>0</v>
      </c>
      <c r="E359" s="71">
        <v>0</v>
      </c>
      <c r="F359" s="71">
        <v>0</v>
      </c>
      <c r="G359" s="71">
        <v>0</v>
      </c>
      <c r="H359" s="71">
        <v>0</v>
      </c>
      <c r="I359" s="71">
        <v>0</v>
      </c>
      <c r="J359" s="71">
        <v>0</v>
      </c>
      <c r="K359" s="71">
        <v>0</v>
      </c>
      <c r="L359" s="71">
        <v>0</v>
      </c>
      <c r="M359" s="71">
        <v>0</v>
      </c>
      <c r="N359" s="71">
        <v>0</v>
      </c>
      <c r="O359" s="72" t="s">
        <v>8</v>
      </c>
      <c r="P359" s="18" t="s">
        <v>108</v>
      </c>
    </row>
    <row r="360" spans="1:16" x14ac:dyDescent="0.3">
      <c r="A360" s="64" t="s">
        <v>313</v>
      </c>
      <c r="B360" s="191" t="s">
        <v>224</v>
      </c>
      <c r="C360" s="71">
        <v>0</v>
      </c>
      <c r="D360" s="71">
        <v>0</v>
      </c>
      <c r="E360" s="71">
        <v>0</v>
      </c>
      <c r="F360" s="71">
        <v>0</v>
      </c>
      <c r="G360" s="71">
        <v>0</v>
      </c>
      <c r="H360" s="71">
        <v>0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2" t="s">
        <v>8</v>
      </c>
      <c r="P360" s="18" t="s">
        <v>108</v>
      </c>
    </row>
    <row r="361" spans="1:16" x14ac:dyDescent="0.3">
      <c r="A361" s="64" t="s">
        <v>116</v>
      </c>
      <c r="B361" s="191" t="s">
        <v>224</v>
      </c>
      <c r="C361" s="71">
        <v>0</v>
      </c>
      <c r="D361" s="71">
        <v>0</v>
      </c>
      <c r="E361" s="71">
        <v>0</v>
      </c>
      <c r="F361" s="71">
        <v>0</v>
      </c>
      <c r="G361" s="71">
        <v>0</v>
      </c>
      <c r="H361" s="71">
        <v>0</v>
      </c>
      <c r="I361" s="71">
        <v>0</v>
      </c>
      <c r="J361" s="71">
        <v>0</v>
      </c>
      <c r="K361" s="71">
        <v>0</v>
      </c>
      <c r="L361" s="71">
        <v>0</v>
      </c>
      <c r="M361" s="71">
        <v>0</v>
      </c>
      <c r="N361" s="71">
        <v>0</v>
      </c>
      <c r="O361" s="72" t="s">
        <v>8</v>
      </c>
      <c r="P361" s="18" t="s">
        <v>108</v>
      </c>
    </row>
    <row r="362" spans="1:16" x14ac:dyDescent="0.3">
      <c r="A362" s="64" t="s">
        <v>117</v>
      </c>
      <c r="B362" s="191" t="s">
        <v>224</v>
      </c>
      <c r="C362" s="71">
        <v>0</v>
      </c>
      <c r="D362" s="71">
        <v>0</v>
      </c>
      <c r="E362" s="71">
        <v>0</v>
      </c>
      <c r="F362" s="71">
        <v>0</v>
      </c>
      <c r="G362" s="71">
        <v>0</v>
      </c>
      <c r="H362" s="71">
        <v>0</v>
      </c>
      <c r="I362" s="71">
        <v>0</v>
      </c>
      <c r="J362" s="71">
        <v>0</v>
      </c>
      <c r="K362" s="71">
        <v>0</v>
      </c>
      <c r="L362" s="71">
        <v>0</v>
      </c>
      <c r="M362" s="71">
        <v>0</v>
      </c>
      <c r="N362" s="71">
        <v>0</v>
      </c>
      <c r="O362" s="72" t="s">
        <v>8</v>
      </c>
      <c r="P362" s="18" t="s">
        <v>108</v>
      </c>
    </row>
    <row r="363" spans="1:16" x14ac:dyDescent="0.3">
      <c r="A363" s="49" t="s">
        <v>396</v>
      </c>
      <c r="B363" s="191" t="s">
        <v>224</v>
      </c>
      <c r="C363" s="71">
        <v>1.3888888888888888</v>
      </c>
      <c r="D363" s="71">
        <v>0.83333333333333326</v>
      </c>
      <c r="E363" s="71">
        <v>0.83333333333333326</v>
      </c>
      <c r="F363" s="71">
        <v>0.83333333333333326</v>
      </c>
      <c r="G363" s="71">
        <v>0.55555555555555558</v>
      </c>
      <c r="H363" s="71">
        <v>0.55555555555555558</v>
      </c>
      <c r="I363" s="71">
        <v>0.83333333333333326</v>
      </c>
      <c r="J363" s="71">
        <v>0.83333333333333326</v>
      </c>
      <c r="K363" s="71">
        <v>0.83333333333333326</v>
      </c>
      <c r="L363" s="71">
        <v>1.1111111111111112</v>
      </c>
      <c r="M363" s="71">
        <v>0</v>
      </c>
      <c r="N363" s="71">
        <v>0</v>
      </c>
      <c r="O363" s="72" t="s">
        <v>8</v>
      </c>
      <c r="P363" s="18" t="s">
        <v>108</v>
      </c>
    </row>
    <row r="364" spans="1:16" x14ac:dyDescent="0.3">
      <c r="A364" s="49" t="s">
        <v>397</v>
      </c>
      <c r="B364" s="191" t="s">
        <v>224</v>
      </c>
      <c r="C364" s="71">
        <v>14.999999999999998</v>
      </c>
      <c r="D364" s="71">
        <v>16</v>
      </c>
      <c r="E364" s="71">
        <v>19</v>
      </c>
      <c r="F364" s="71">
        <v>19</v>
      </c>
      <c r="G364" s="71">
        <v>18</v>
      </c>
      <c r="H364" s="71">
        <v>18</v>
      </c>
      <c r="I364" s="71">
        <v>18</v>
      </c>
      <c r="J364" s="71">
        <v>10</v>
      </c>
      <c r="K364" s="71">
        <v>20</v>
      </c>
      <c r="L364" s="71">
        <v>17.8</v>
      </c>
      <c r="M364" s="71">
        <v>16.666666666666668</v>
      </c>
      <c r="N364" s="71">
        <v>15.833333333333332</v>
      </c>
      <c r="O364" s="72" t="s">
        <v>8</v>
      </c>
      <c r="P364" s="18" t="s">
        <v>108</v>
      </c>
    </row>
    <row r="365" spans="1:16" x14ac:dyDescent="0.3">
      <c r="A365" s="49" t="s">
        <v>398</v>
      </c>
      <c r="B365" s="191" t="s">
        <v>224</v>
      </c>
      <c r="C365" s="71">
        <v>0.27777777777777779</v>
      </c>
      <c r="D365" s="71">
        <v>0</v>
      </c>
      <c r="E365" s="71">
        <v>0.27777777777777779</v>
      </c>
      <c r="F365" s="71">
        <v>0.27777777777777779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2" t="s">
        <v>8</v>
      </c>
      <c r="P365" s="18" t="s">
        <v>108</v>
      </c>
    </row>
    <row r="366" spans="1:16" x14ac:dyDescent="0.3">
      <c r="A366" s="50" t="s">
        <v>399</v>
      </c>
      <c r="B366" s="193" t="s">
        <v>224</v>
      </c>
      <c r="C366" s="75">
        <v>104.9059476951148</v>
      </c>
      <c r="D366" s="75">
        <v>118.06923626165602</v>
      </c>
      <c r="E366" s="75">
        <v>156.34402572009211</v>
      </c>
      <c r="F366" s="75">
        <v>165.3416870353899</v>
      </c>
      <c r="G366" s="75">
        <v>134.7906139588469</v>
      </c>
      <c r="H366" s="75">
        <v>127.04262782622939</v>
      </c>
      <c r="I366" s="75">
        <v>141.31676765002589</v>
      </c>
      <c r="J366" s="75">
        <v>107.54367397387655</v>
      </c>
      <c r="K366" s="75">
        <v>113.89034156124276</v>
      </c>
      <c r="L366" s="75">
        <v>90.837167057390417</v>
      </c>
      <c r="M366" s="75">
        <v>53.611111111111107</v>
      </c>
      <c r="N366" s="75">
        <v>66.666666666666671</v>
      </c>
      <c r="O366" s="72"/>
      <c r="P366" s="49"/>
    </row>
    <row r="367" spans="1:16" x14ac:dyDescent="0.3">
      <c r="A367" s="24" t="s">
        <v>102</v>
      </c>
      <c r="B367" s="25" t="s">
        <v>103</v>
      </c>
      <c r="C367" s="87">
        <f t="shared" ref="C367:N367" si="27">IFERROR((C352+C353+C354+C356+C357+C359+C360+C361+C362+C363+C364+C365)/C366,"")</f>
        <v>0.99999999999999989</v>
      </c>
      <c r="D367" s="87">
        <f t="shared" si="27"/>
        <v>1.0000000000000002</v>
      </c>
      <c r="E367" s="87">
        <f t="shared" si="27"/>
        <v>1</v>
      </c>
      <c r="F367" s="87">
        <f t="shared" si="27"/>
        <v>0.99999999999999978</v>
      </c>
      <c r="G367" s="87">
        <f t="shared" si="27"/>
        <v>1</v>
      </c>
      <c r="H367" s="87">
        <f t="shared" si="27"/>
        <v>1.0000109324634783</v>
      </c>
      <c r="I367" s="87">
        <f t="shared" si="27"/>
        <v>1</v>
      </c>
      <c r="J367" s="87">
        <f t="shared" si="27"/>
        <v>1.0025829299624378</v>
      </c>
      <c r="K367" s="87">
        <f t="shared" si="27"/>
        <v>0.99512201343906925</v>
      </c>
      <c r="L367" s="87">
        <f t="shared" si="27"/>
        <v>0.99969420250897734</v>
      </c>
      <c r="M367" s="87">
        <f t="shared" si="27"/>
        <v>1.0000000000000002</v>
      </c>
      <c r="N367" s="87">
        <f t="shared" si="27"/>
        <v>0.99999999999999978</v>
      </c>
      <c r="O367" s="72"/>
      <c r="P367" s="49"/>
    </row>
    <row r="368" spans="1:16" x14ac:dyDescent="0.3">
      <c r="A368" s="49"/>
      <c r="B368" s="49"/>
      <c r="C368" s="87">
        <f t="shared" ref="C368:N368" si="28">IFERROR((C351+C355+C358+C363+C364+C365)/C366,"")</f>
        <v>0.99999999999999989</v>
      </c>
      <c r="D368" s="87">
        <f t="shared" si="28"/>
        <v>1.0000000000000002</v>
      </c>
      <c r="E368" s="87">
        <f t="shared" si="28"/>
        <v>1</v>
      </c>
      <c r="F368" s="87">
        <f t="shared" si="28"/>
        <v>0.99999999999999978</v>
      </c>
      <c r="G368" s="87">
        <f t="shared" si="28"/>
        <v>1</v>
      </c>
      <c r="H368" s="87">
        <f t="shared" si="28"/>
        <v>1.0000109324634783</v>
      </c>
      <c r="I368" s="87">
        <f t="shared" si="28"/>
        <v>1</v>
      </c>
      <c r="J368" s="87">
        <f t="shared" si="28"/>
        <v>1.0025829299624378</v>
      </c>
      <c r="K368" s="87">
        <f t="shared" si="28"/>
        <v>0.99512201343906925</v>
      </c>
      <c r="L368" s="87">
        <f t="shared" si="28"/>
        <v>0.99969420250897734</v>
      </c>
      <c r="M368" s="87">
        <f t="shared" si="28"/>
        <v>1.0000000000000002</v>
      </c>
      <c r="N368" s="87">
        <f t="shared" si="28"/>
        <v>0.99999999999999978</v>
      </c>
      <c r="O368" s="49"/>
      <c r="P368" s="49"/>
    </row>
    <row r="369" spans="1:16" x14ac:dyDescent="0.3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spans="1:16" ht="15.6" x14ac:dyDescent="0.3">
      <c r="A370" s="8" t="s">
        <v>400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spans="1:16" x14ac:dyDescent="0.3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spans="1:16" x14ac:dyDescent="0.3">
      <c r="A372" s="49" t="s">
        <v>401</v>
      </c>
      <c r="B372" s="192" t="s">
        <v>224</v>
      </c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49"/>
      <c r="P372" s="49"/>
    </row>
    <row r="373" spans="1:16" x14ac:dyDescent="0.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1:16" ht="15.6" x14ac:dyDescent="0.3">
      <c r="A374" s="8" t="s">
        <v>402</v>
      </c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spans="1:16" x14ac:dyDescent="0.3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1:16" x14ac:dyDescent="0.3">
      <c r="A376" s="49" t="s">
        <v>403</v>
      </c>
      <c r="B376" s="191" t="s">
        <v>224</v>
      </c>
      <c r="C376" s="71">
        <v>290.86111111111109</v>
      </c>
      <c r="D376" s="71">
        <v>409.44444444444451</v>
      </c>
      <c r="E376" s="71">
        <v>422.65</v>
      </c>
      <c r="F376" s="71">
        <v>387.40000000000003</v>
      </c>
      <c r="G376" s="71">
        <v>397.40555555555551</v>
      </c>
      <c r="H376" s="71">
        <v>374.79444444444437</v>
      </c>
      <c r="I376" s="71">
        <v>493.71111111111111</v>
      </c>
      <c r="J376" s="71">
        <v>387.49055555555549</v>
      </c>
      <c r="K376" s="71">
        <v>435.61555277777779</v>
      </c>
      <c r="L376" s="71">
        <v>422.08083333333332</v>
      </c>
      <c r="M376" s="71">
        <v>470.55555555555554</v>
      </c>
      <c r="N376" s="71">
        <v>220</v>
      </c>
      <c r="O376" s="72" t="s">
        <v>8</v>
      </c>
      <c r="P376" s="18" t="s">
        <v>108</v>
      </c>
    </row>
    <row r="377" spans="1:16" x14ac:dyDescent="0.3">
      <c r="A377" s="64" t="s">
        <v>298</v>
      </c>
      <c r="B377" s="191" t="s">
        <v>224</v>
      </c>
      <c r="C377" s="71">
        <v>246.74999999999997</v>
      </c>
      <c r="D377" s="71">
        <v>387.77777777777777</v>
      </c>
      <c r="E377" s="71">
        <v>375.99999999999994</v>
      </c>
      <c r="F377" s="71">
        <v>340.75</v>
      </c>
      <c r="G377" s="71">
        <v>352.5</v>
      </c>
      <c r="H377" s="71">
        <v>317.24999999999994</v>
      </c>
      <c r="I377" s="71">
        <v>399.5</v>
      </c>
      <c r="J377" s="71">
        <v>305.5</v>
      </c>
      <c r="K377" s="71">
        <v>375.99999999999994</v>
      </c>
      <c r="L377" s="71">
        <v>331.34999999999997</v>
      </c>
      <c r="M377" s="71">
        <v>364.16666666666669</v>
      </c>
      <c r="N377" s="71">
        <v>129.16666666666669</v>
      </c>
      <c r="O377" s="72" t="s">
        <v>8</v>
      </c>
      <c r="P377" s="18" t="s">
        <v>108</v>
      </c>
    </row>
    <row r="378" spans="1:16" x14ac:dyDescent="0.3">
      <c r="A378" s="64" t="s">
        <v>110</v>
      </c>
      <c r="B378" s="191" t="s">
        <v>224</v>
      </c>
      <c r="C378" s="71">
        <v>44.111111111111114</v>
      </c>
      <c r="D378" s="71">
        <v>21.666666666666668</v>
      </c>
      <c r="E378" s="71">
        <v>21.788888888888888</v>
      </c>
      <c r="F378" s="71">
        <v>21.788888888888888</v>
      </c>
      <c r="G378" s="71">
        <v>32.68333333333333</v>
      </c>
      <c r="H378" s="71">
        <v>32.68333333333333</v>
      </c>
      <c r="I378" s="71">
        <v>32.68333333333333</v>
      </c>
      <c r="J378" s="71">
        <v>32.68416666666667</v>
      </c>
      <c r="K378" s="71">
        <v>34.754163888888883</v>
      </c>
      <c r="L378" s="71">
        <v>59.54999999999999</v>
      </c>
      <c r="M378" s="71">
        <v>79.444444444444443</v>
      </c>
      <c r="N378" s="71">
        <v>70.833333333333329</v>
      </c>
      <c r="O378" s="72" t="s">
        <v>8</v>
      </c>
      <c r="P378" s="18" t="s">
        <v>108</v>
      </c>
    </row>
    <row r="379" spans="1:16" x14ac:dyDescent="0.3">
      <c r="A379" s="64" t="s">
        <v>299</v>
      </c>
      <c r="B379" s="191" t="s">
        <v>224</v>
      </c>
      <c r="C379" s="71">
        <v>0</v>
      </c>
      <c r="D379" s="71">
        <v>0</v>
      </c>
      <c r="E379" s="71">
        <v>24.861111111111111</v>
      </c>
      <c r="F379" s="71">
        <v>24.861111111111111</v>
      </c>
      <c r="G379" s="71">
        <v>12.222222222222221</v>
      </c>
      <c r="H379" s="71">
        <v>24.861111111111111</v>
      </c>
      <c r="I379" s="71">
        <v>61.527777777777779</v>
      </c>
      <c r="J379" s="71">
        <v>49.306388888888883</v>
      </c>
      <c r="K379" s="71">
        <v>24.861388888888886</v>
      </c>
      <c r="L379" s="71">
        <v>31.180833333333332</v>
      </c>
      <c r="M379" s="71">
        <v>26.944444444444443</v>
      </c>
      <c r="N379" s="71">
        <v>20</v>
      </c>
      <c r="O379" s="72"/>
      <c r="P379" s="18" t="s">
        <v>108</v>
      </c>
    </row>
    <row r="380" spans="1:16" x14ac:dyDescent="0.3">
      <c r="A380" s="49" t="s">
        <v>404</v>
      </c>
      <c r="B380" s="191" t="s">
        <v>224</v>
      </c>
      <c r="C380" s="71">
        <v>41.489216064984191</v>
      </c>
      <c r="D380" s="71">
        <v>45.555555555555557</v>
      </c>
      <c r="E380" s="71">
        <v>55.485578111002951</v>
      </c>
      <c r="F380" s="71">
        <v>54.495350859431575</v>
      </c>
      <c r="G380" s="71">
        <v>61.983889060940243</v>
      </c>
      <c r="H380" s="71">
        <v>72.981030668526429</v>
      </c>
      <c r="I380" s="71">
        <v>84.727977385720735</v>
      </c>
      <c r="J380" s="71">
        <v>82.750148838999948</v>
      </c>
      <c r="K380" s="71">
        <v>72.702353102788706</v>
      </c>
      <c r="L380" s="71">
        <v>51.511611030079777</v>
      </c>
      <c r="M380" s="71">
        <v>42.777777777777779</v>
      </c>
      <c r="N380" s="71">
        <v>59.999999999999993</v>
      </c>
      <c r="O380" s="72" t="s">
        <v>8</v>
      </c>
      <c r="P380" s="18" t="s">
        <v>108</v>
      </c>
    </row>
    <row r="381" spans="1:16" x14ac:dyDescent="0.3">
      <c r="A381" s="64" t="s">
        <v>301</v>
      </c>
      <c r="B381" s="191" t="s">
        <v>224</v>
      </c>
      <c r="C381" s="71">
        <v>41.489216064984191</v>
      </c>
      <c r="D381" s="71">
        <v>45.555555555555557</v>
      </c>
      <c r="E381" s="71">
        <v>55.485578111002951</v>
      </c>
      <c r="F381" s="71">
        <v>54.495350859431575</v>
      </c>
      <c r="G381" s="71">
        <v>61.983889060940243</v>
      </c>
      <c r="H381" s="71">
        <v>72.981030668526429</v>
      </c>
      <c r="I381" s="71">
        <v>84.727977385720735</v>
      </c>
      <c r="J381" s="71">
        <v>82.750148838999948</v>
      </c>
      <c r="K381" s="71">
        <v>72.702353102788706</v>
      </c>
      <c r="L381" s="71">
        <v>51.511611030079777</v>
      </c>
      <c r="M381" s="71">
        <v>42.777777777777779</v>
      </c>
      <c r="N381" s="71">
        <v>59.999999999999993</v>
      </c>
      <c r="O381" s="72" t="s">
        <v>8</v>
      </c>
      <c r="P381" s="18" t="s">
        <v>108</v>
      </c>
    </row>
    <row r="382" spans="1:16" x14ac:dyDescent="0.3">
      <c r="A382" s="64" t="s">
        <v>302</v>
      </c>
      <c r="B382" s="191" t="s">
        <v>224</v>
      </c>
      <c r="C382" s="71">
        <v>0</v>
      </c>
      <c r="D382" s="71">
        <v>0</v>
      </c>
      <c r="E382" s="71">
        <v>0</v>
      </c>
      <c r="F382" s="71">
        <v>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2"/>
      <c r="P382" s="58"/>
    </row>
    <row r="383" spans="1:16" x14ac:dyDescent="0.3">
      <c r="A383" s="49" t="s">
        <v>405</v>
      </c>
      <c r="B383" s="191" t="s">
        <v>224</v>
      </c>
      <c r="C383" s="71">
        <v>0</v>
      </c>
      <c r="D383" s="71">
        <v>4.4444444444444446</v>
      </c>
      <c r="E383" s="71">
        <v>0</v>
      </c>
      <c r="F383" s="71">
        <v>0</v>
      </c>
      <c r="G383" s="71">
        <v>0</v>
      </c>
      <c r="H383" s="71">
        <v>0</v>
      </c>
      <c r="I383" s="71">
        <v>0</v>
      </c>
      <c r="J383" s="71">
        <v>0</v>
      </c>
      <c r="K383" s="71">
        <v>6.1111111111111107</v>
      </c>
      <c r="L383" s="71">
        <v>3.0555555555555554</v>
      </c>
      <c r="M383" s="71">
        <v>0.55555555555555558</v>
      </c>
      <c r="N383" s="71">
        <v>1.9444444444444444</v>
      </c>
      <c r="O383" s="72" t="s">
        <v>8</v>
      </c>
      <c r="P383" s="18" t="s">
        <v>108</v>
      </c>
    </row>
    <row r="384" spans="1:16" x14ac:dyDescent="0.3">
      <c r="A384" s="64" t="s">
        <v>114</v>
      </c>
      <c r="B384" s="191" t="s">
        <v>224</v>
      </c>
      <c r="C384" s="71">
        <v>0</v>
      </c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0</v>
      </c>
      <c r="K384" s="71">
        <v>6.1111111111111107</v>
      </c>
      <c r="L384" s="71">
        <v>3.0555555555555554</v>
      </c>
      <c r="M384" s="71">
        <v>0.55555555555555558</v>
      </c>
      <c r="N384" s="71">
        <v>1.9444444444444444</v>
      </c>
      <c r="O384" s="72" t="s">
        <v>8</v>
      </c>
      <c r="P384" s="18" t="s">
        <v>108</v>
      </c>
    </row>
    <row r="385" spans="1:16" x14ac:dyDescent="0.3">
      <c r="A385" s="64" t="s">
        <v>313</v>
      </c>
      <c r="B385" s="191" t="s">
        <v>224</v>
      </c>
      <c r="C385" s="71">
        <v>0</v>
      </c>
      <c r="D385" s="71">
        <v>0</v>
      </c>
      <c r="E385" s="71">
        <v>0</v>
      </c>
      <c r="F385" s="71">
        <v>0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0</v>
      </c>
      <c r="M385" s="71">
        <v>0</v>
      </c>
      <c r="N385" s="71">
        <v>0</v>
      </c>
      <c r="O385" s="72" t="s">
        <v>8</v>
      </c>
      <c r="P385" s="18" t="s">
        <v>108</v>
      </c>
    </row>
    <row r="386" spans="1:16" x14ac:dyDescent="0.3">
      <c r="A386" s="64" t="s">
        <v>116</v>
      </c>
      <c r="B386" s="191" t="s">
        <v>224</v>
      </c>
      <c r="C386" s="71">
        <v>0</v>
      </c>
      <c r="D386" s="71">
        <v>0</v>
      </c>
      <c r="E386" s="71">
        <v>0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2" t="s">
        <v>8</v>
      </c>
      <c r="P386" s="18" t="s">
        <v>108</v>
      </c>
    </row>
    <row r="387" spans="1:16" x14ac:dyDescent="0.3">
      <c r="A387" s="64" t="s">
        <v>117</v>
      </c>
      <c r="B387" s="191" t="s">
        <v>224</v>
      </c>
      <c r="C387" s="71">
        <v>0</v>
      </c>
      <c r="D387" s="71">
        <v>4.4444444444444446</v>
      </c>
      <c r="E387" s="71">
        <v>0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71">
        <v>0</v>
      </c>
      <c r="M387" s="71">
        <v>0</v>
      </c>
      <c r="N387" s="71">
        <v>0</v>
      </c>
      <c r="O387" s="72" t="s">
        <v>8</v>
      </c>
      <c r="P387" s="18" t="s">
        <v>108</v>
      </c>
    </row>
    <row r="388" spans="1:16" x14ac:dyDescent="0.3">
      <c r="A388" s="49" t="s">
        <v>406</v>
      </c>
      <c r="B388" s="191" t="s">
        <v>224</v>
      </c>
      <c r="C388" s="71">
        <v>25</v>
      </c>
      <c r="D388" s="71">
        <v>11.388888888888889</v>
      </c>
      <c r="E388" s="71">
        <v>19.722222222222221</v>
      </c>
      <c r="F388" s="71">
        <v>16.944444444444443</v>
      </c>
      <c r="G388" s="71">
        <v>22.777777777777779</v>
      </c>
      <c r="H388" s="71">
        <v>21.388888888888889</v>
      </c>
      <c r="I388" s="71">
        <v>25.277777777777779</v>
      </c>
      <c r="J388" s="71">
        <v>23.055555555555554</v>
      </c>
      <c r="K388" s="71">
        <v>21.388888888888889</v>
      </c>
      <c r="L388" s="71">
        <v>22.222222222222221</v>
      </c>
      <c r="M388" s="71">
        <v>23.611111111111111</v>
      </c>
      <c r="N388" s="71">
        <v>21.666666666666668</v>
      </c>
      <c r="O388" s="72" t="s">
        <v>8</v>
      </c>
      <c r="P388" s="18" t="s">
        <v>108</v>
      </c>
    </row>
    <row r="389" spans="1:16" x14ac:dyDescent="0.3">
      <c r="A389" s="49" t="s">
        <v>407</v>
      </c>
      <c r="B389" s="191" t="s">
        <v>224</v>
      </c>
      <c r="C389" s="71">
        <v>62</v>
      </c>
      <c r="D389" s="71">
        <v>71.111111111111114</v>
      </c>
      <c r="E389" s="71">
        <v>82</v>
      </c>
      <c r="F389" s="71">
        <v>84.000000000000014</v>
      </c>
      <c r="G389" s="71">
        <v>78</v>
      </c>
      <c r="H389" s="71">
        <v>81</v>
      </c>
      <c r="I389" s="71">
        <v>83</v>
      </c>
      <c r="J389" s="71">
        <v>82</v>
      </c>
      <c r="K389" s="71">
        <v>71</v>
      </c>
      <c r="L389" s="71">
        <v>66.400000000000006</v>
      </c>
      <c r="M389" s="71">
        <v>84.444444444444443</v>
      </c>
      <c r="N389" s="71">
        <v>54.166666666666664</v>
      </c>
      <c r="O389" s="72" t="s">
        <v>8</v>
      </c>
      <c r="P389" s="18" t="s">
        <v>108</v>
      </c>
    </row>
    <row r="390" spans="1:16" x14ac:dyDescent="0.3">
      <c r="A390" s="49" t="s">
        <v>408</v>
      </c>
      <c r="B390" s="191" t="s">
        <v>224</v>
      </c>
      <c r="C390" s="71">
        <v>2.2222222222222223</v>
      </c>
      <c r="D390" s="71">
        <v>2.5</v>
      </c>
      <c r="E390" s="71">
        <v>1.9444444444444444</v>
      </c>
      <c r="F390" s="71">
        <v>21.388888888888889</v>
      </c>
      <c r="G390" s="71">
        <v>1.6666666666666665</v>
      </c>
      <c r="H390" s="71">
        <v>2.7777777777777777</v>
      </c>
      <c r="I390" s="71">
        <v>11.111111111111111</v>
      </c>
      <c r="J390" s="71">
        <v>8.3333333333333339</v>
      </c>
      <c r="K390" s="71">
        <v>5.5823999999999998</v>
      </c>
      <c r="L390" s="71">
        <v>8.3333333333333339</v>
      </c>
      <c r="M390" s="71">
        <v>5</v>
      </c>
      <c r="N390" s="71">
        <v>6.1111111111111107</v>
      </c>
      <c r="O390" s="72" t="s">
        <v>8</v>
      </c>
      <c r="P390" s="18" t="s">
        <v>108</v>
      </c>
    </row>
    <row r="391" spans="1:16" x14ac:dyDescent="0.3">
      <c r="A391" s="50" t="s">
        <v>409</v>
      </c>
      <c r="B391" s="193" t="s">
        <v>224</v>
      </c>
      <c r="C391" s="75">
        <v>421.57254939831745</v>
      </c>
      <c r="D391" s="75">
        <v>544.44444444444446</v>
      </c>
      <c r="E391" s="75">
        <v>581.80224477766956</v>
      </c>
      <c r="F391" s="75">
        <v>564.22868419276483</v>
      </c>
      <c r="G391" s="75">
        <v>561.83388906094024</v>
      </c>
      <c r="H391" s="75">
        <v>552.9421417796375</v>
      </c>
      <c r="I391" s="75">
        <v>697.82797738572071</v>
      </c>
      <c r="J391" s="75">
        <v>583.62959328344436</v>
      </c>
      <c r="K391" s="75">
        <v>612.37346143612206</v>
      </c>
      <c r="L391" s="75">
        <v>573.60355547452411</v>
      </c>
      <c r="M391" s="75">
        <v>626.94444444444446</v>
      </c>
      <c r="N391" s="75">
        <v>364.16666666666669</v>
      </c>
      <c r="O391" s="72"/>
      <c r="P391" s="49"/>
    </row>
    <row r="392" spans="1:16" x14ac:dyDescent="0.3">
      <c r="A392" s="24" t="s">
        <v>102</v>
      </c>
      <c r="B392" s="25" t="s">
        <v>103</v>
      </c>
      <c r="C392" s="87">
        <f t="shared" ref="C392:N392" si="29">IFERROR((C377+C378+C379+C381+C382+C384+C385+C386+C387+C388+C389+C390)/C391,"")</f>
        <v>1.0000000000000002</v>
      </c>
      <c r="D392" s="87">
        <f t="shared" si="29"/>
        <v>1</v>
      </c>
      <c r="E392" s="87">
        <f t="shared" si="29"/>
        <v>1</v>
      </c>
      <c r="F392" s="87">
        <f t="shared" si="29"/>
        <v>1.0000000000000002</v>
      </c>
      <c r="G392" s="87">
        <f t="shared" si="29"/>
        <v>0.99999999999999978</v>
      </c>
      <c r="H392" s="87">
        <f t="shared" si="29"/>
        <v>1</v>
      </c>
      <c r="I392" s="87">
        <f t="shared" si="29"/>
        <v>1</v>
      </c>
      <c r="J392" s="87">
        <f t="shared" si="29"/>
        <v>1.0000000000000002</v>
      </c>
      <c r="K392" s="87">
        <f t="shared" si="29"/>
        <v>1.0000438367207838</v>
      </c>
      <c r="L392" s="87">
        <f t="shared" si="29"/>
        <v>1.0000000000000002</v>
      </c>
      <c r="M392" s="87">
        <f t="shared" si="29"/>
        <v>1</v>
      </c>
      <c r="N392" s="87">
        <f t="shared" si="29"/>
        <v>0.9992372234935164</v>
      </c>
      <c r="O392" s="72"/>
      <c r="P392" s="49"/>
    </row>
    <row r="393" spans="1:16" x14ac:dyDescent="0.3">
      <c r="A393" s="49"/>
      <c r="B393" s="49"/>
      <c r="C393" s="87">
        <f t="shared" ref="C393:N393" si="30">IFERROR((C376+C380+C383+C388+C389+C390)/C391,"")</f>
        <v>1.0000000000000002</v>
      </c>
      <c r="D393" s="87">
        <f t="shared" si="30"/>
        <v>1.0000000000000002</v>
      </c>
      <c r="E393" s="87">
        <f t="shared" si="30"/>
        <v>1.0000000000000002</v>
      </c>
      <c r="F393" s="87">
        <f t="shared" si="30"/>
        <v>1.0000000000000004</v>
      </c>
      <c r="G393" s="87">
        <f t="shared" si="30"/>
        <v>0.99999999999999978</v>
      </c>
      <c r="H393" s="87">
        <f t="shared" si="30"/>
        <v>1</v>
      </c>
      <c r="I393" s="87">
        <f t="shared" si="30"/>
        <v>1</v>
      </c>
      <c r="J393" s="87">
        <f t="shared" si="30"/>
        <v>1</v>
      </c>
      <c r="K393" s="87">
        <f t="shared" si="30"/>
        <v>1.000043836720784</v>
      </c>
      <c r="L393" s="87">
        <f t="shared" si="30"/>
        <v>1.0000000000000002</v>
      </c>
      <c r="M393" s="87">
        <f t="shared" si="30"/>
        <v>1</v>
      </c>
      <c r="N393" s="87">
        <f t="shared" si="30"/>
        <v>0.9992372234935164</v>
      </c>
      <c r="O393" s="49"/>
      <c r="P393" s="49"/>
    </row>
    <row r="394" spans="1:16" x14ac:dyDescent="0.3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spans="1:16" ht="18" x14ac:dyDescent="0.35">
      <c r="A395" s="48" t="s">
        <v>410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x14ac:dyDescent="0.3">
      <c r="A396" s="49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1:16" ht="15.6" x14ac:dyDescent="0.3">
      <c r="A397" s="8" t="s">
        <v>411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1:16" x14ac:dyDescent="0.3">
      <c r="A398" s="49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1:16" x14ac:dyDescent="0.3">
      <c r="A399" s="49" t="s">
        <v>412</v>
      </c>
      <c r="B399" s="191" t="s">
        <v>224</v>
      </c>
      <c r="C399" s="71">
        <v>0</v>
      </c>
      <c r="D399" s="71">
        <v>0</v>
      </c>
      <c r="E399" s="71">
        <v>0</v>
      </c>
      <c r="F399" s="71">
        <v>0</v>
      </c>
      <c r="G399" s="71">
        <v>0</v>
      </c>
      <c r="H399" s="71">
        <v>0</v>
      </c>
      <c r="I399" s="71">
        <v>0</v>
      </c>
      <c r="J399" s="71">
        <v>43.363229611111102</v>
      </c>
      <c r="K399" s="71">
        <v>43.363229611111102</v>
      </c>
      <c r="L399" s="71">
        <v>0</v>
      </c>
      <c r="M399" s="71">
        <v>6.6662276666666669</v>
      </c>
      <c r="N399" s="71">
        <v>0</v>
      </c>
      <c r="O399" s="18" t="s">
        <v>39</v>
      </c>
      <c r="P399" s="18" t="s">
        <v>413</v>
      </c>
    </row>
    <row r="400" spans="1:16" x14ac:dyDescent="0.3">
      <c r="A400" s="64" t="s">
        <v>298</v>
      </c>
      <c r="B400" s="191" t="s">
        <v>224</v>
      </c>
      <c r="C400" s="71">
        <v>0</v>
      </c>
      <c r="D400" s="71">
        <v>0</v>
      </c>
      <c r="E400" s="71">
        <v>0</v>
      </c>
      <c r="F400" s="71">
        <v>0</v>
      </c>
      <c r="G400" s="71">
        <v>0</v>
      </c>
      <c r="H400" s="71">
        <v>0</v>
      </c>
      <c r="I400" s="71">
        <v>0</v>
      </c>
      <c r="J400" s="71">
        <v>2.2590993333333333</v>
      </c>
      <c r="K400" s="71">
        <v>2.2590993333333333</v>
      </c>
      <c r="L400" s="71">
        <v>2.2590993333333333</v>
      </c>
      <c r="M400" s="71">
        <v>0.29236666666666672</v>
      </c>
      <c r="N400" s="71">
        <v>0</v>
      </c>
      <c r="O400" s="18" t="s">
        <v>39</v>
      </c>
      <c r="P400" s="18" t="s">
        <v>413</v>
      </c>
    </row>
    <row r="401" spans="1:16" x14ac:dyDescent="0.3">
      <c r="A401" s="64" t="s">
        <v>110</v>
      </c>
      <c r="B401" s="191" t="s">
        <v>224</v>
      </c>
      <c r="C401" s="71">
        <v>0</v>
      </c>
      <c r="D401" s="71">
        <v>0</v>
      </c>
      <c r="E401" s="71">
        <v>0</v>
      </c>
      <c r="F401" s="71">
        <v>0</v>
      </c>
      <c r="G401" s="71">
        <v>0</v>
      </c>
      <c r="H401" s="71">
        <v>0</v>
      </c>
      <c r="I401" s="71">
        <v>0</v>
      </c>
      <c r="J401" s="71">
        <v>0</v>
      </c>
      <c r="K401" s="71">
        <v>0</v>
      </c>
      <c r="L401" s="71">
        <v>0</v>
      </c>
      <c r="M401" s="71">
        <v>0</v>
      </c>
      <c r="N401" s="71">
        <v>0</v>
      </c>
      <c r="O401" s="18" t="s">
        <v>39</v>
      </c>
      <c r="P401" s="18" t="s">
        <v>413</v>
      </c>
    </row>
    <row r="402" spans="1:16" x14ac:dyDescent="0.3">
      <c r="A402" s="64" t="s">
        <v>299</v>
      </c>
      <c r="B402" s="191" t="s">
        <v>224</v>
      </c>
      <c r="C402" s="71">
        <v>0</v>
      </c>
      <c r="D402" s="71">
        <v>0</v>
      </c>
      <c r="E402" s="71">
        <v>0</v>
      </c>
      <c r="F402" s="71">
        <v>0</v>
      </c>
      <c r="G402" s="71">
        <v>0</v>
      </c>
      <c r="H402" s="71">
        <v>0</v>
      </c>
      <c r="I402" s="71">
        <v>0</v>
      </c>
      <c r="J402" s="71">
        <v>41.10413027777777</v>
      </c>
      <c r="K402" s="71">
        <v>41.10413027777777</v>
      </c>
      <c r="L402" s="71">
        <v>0</v>
      </c>
      <c r="M402" s="71">
        <v>6.3738609999999998</v>
      </c>
      <c r="N402" s="71">
        <v>0</v>
      </c>
      <c r="O402" s="18" t="s">
        <v>39</v>
      </c>
      <c r="P402" s="18" t="s">
        <v>413</v>
      </c>
    </row>
    <row r="403" spans="1:16" x14ac:dyDescent="0.3">
      <c r="A403" s="49" t="s">
        <v>414</v>
      </c>
      <c r="B403" s="191" t="s">
        <v>224</v>
      </c>
      <c r="C403" s="71">
        <v>0</v>
      </c>
      <c r="D403" s="71">
        <v>0</v>
      </c>
      <c r="E403" s="71">
        <v>0</v>
      </c>
      <c r="F403" s="71">
        <v>0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18" t="s">
        <v>39</v>
      </c>
      <c r="P403" s="18" t="s">
        <v>413</v>
      </c>
    </row>
    <row r="404" spans="1:16" x14ac:dyDescent="0.3">
      <c r="A404" s="64" t="s">
        <v>301</v>
      </c>
      <c r="B404" s="191" t="s">
        <v>224</v>
      </c>
      <c r="C404" s="71">
        <v>0</v>
      </c>
      <c r="D404" s="71">
        <v>0</v>
      </c>
      <c r="E404" s="71">
        <v>0</v>
      </c>
      <c r="F404" s="71">
        <v>0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18" t="s">
        <v>39</v>
      </c>
      <c r="P404" s="18" t="s">
        <v>413</v>
      </c>
    </row>
    <row r="405" spans="1:16" x14ac:dyDescent="0.3">
      <c r="A405" s="64" t="s">
        <v>302</v>
      </c>
      <c r="B405" s="191" t="s">
        <v>224</v>
      </c>
      <c r="C405" s="71">
        <v>0</v>
      </c>
      <c r="D405" s="71">
        <v>0</v>
      </c>
      <c r="E405" s="71">
        <v>0</v>
      </c>
      <c r="F405" s="71">
        <v>0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18" t="s">
        <v>39</v>
      </c>
      <c r="P405" s="18" t="s">
        <v>413</v>
      </c>
    </row>
    <row r="406" spans="1:16" x14ac:dyDescent="0.3">
      <c r="A406" s="49" t="s">
        <v>415</v>
      </c>
      <c r="B406" s="191" t="s">
        <v>224</v>
      </c>
      <c r="C406" s="71">
        <v>894.63655555555556</v>
      </c>
      <c r="D406" s="71">
        <v>1115.4306527777778</v>
      </c>
      <c r="E406" s="71">
        <v>1080.7481611111111</v>
      </c>
      <c r="F406" s="71">
        <v>1035.7194444444444</v>
      </c>
      <c r="G406" s="71">
        <v>1080.4544444444443</v>
      </c>
      <c r="H406" s="71">
        <v>518.64372222222221</v>
      </c>
      <c r="I406" s="71">
        <v>437.78505999999999</v>
      </c>
      <c r="J406" s="71">
        <v>804.2779422000001</v>
      </c>
      <c r="K406" s="71">
        <v>889.23458203333337</v>
      </c>
      <c r="L406" s="71">
        <v>880.63212803333329</v>
      </c>
      <c r="M406" s="71">
        <v>41.456079666666668</v>
      </c>
      <c r="N406" s="71">
        <v>0</v>
      </c>
      <c r="O406" s="18" t="s">
        <v>39</v>
      </c>
      <c r="P406" s="18" t="s">
        <v>413</v>
      </c>
    </row>
    <row r="407" spans="1:16" x14ac:dyDescent="0.3">
      <c r="A407" s="64" t="s">
        <v>114</v>
      </c>
      <c r="B407" s="191" t="s">
        <v>224</v>
      </c>
      <c r="C407" s="71">
        <v>314.49527777777774</v>
      </c>
      <c r="D407" s="71">
        <v>361.96023611111116</v>
      </c>
      <c r="E407" s="71">
        <v>317.06661111111111</v>
      </c>
      <c r="F407" s="71">
        <v>359.9444444444444</v>
      </c>
      <c r="G407" s="71">
        <v>390.19444444444446</v>
      </c>
      <c r="H407" s="71">
        <v>140.02388888888888</v>
      </c>
      <c r="I407" s="71">
        <v>117.18666666666667</v>
      </c>
      <c r="J407" s="71">
        <v>202.84243916666668</v>
      </c>
      <c r="K407" s="71">
        <v>271.83835444444441</v>
      </c>
      <c r="L407" s="71">
        <v>315.22649999999999</v>
      </c>
      <c r="M407" s="71">
        <v>15.110999999999999</v>
      </c>
      <c r="N407" s="71">
        <v>0</v>
      </c>
      <c r="O407" s="18" t="s">
        <v>39</v>
      </c>
      <c r="P407" s="18" t="s">
        <v>413</v>
      </c>
    </row>
    <row r="408" spans="1:16" x14ac:dyDescent="0.3">
      <c r="A408" s="64" t="s">
        <v>313</v>
      </c>
      <c r="B408" s="191" t="s">
        <v>224</v>
      </c>
      <c r="C408" s="71">
        <v>485.73777777777781</v>
      </c>
      <c r="D408" s="71">
        <v>578.92666666666662</v>
      </c>
      <c r="E408" s="71">
        <v>461.27375000000001</v>
      </c>
      <c r="F408" s="71">
        <v>389.37499999999994</v>
      </c>
      <c r="G408" s="71">
        <v>375.29999999999995</v>
      </c>
      <c r="H408" s="71">
        <v>175.5025</v>
      </c>
      <c r="I408" s="71">
        <v>120.78249999999998</v>
      </c>
      <c r="J408" s="71">
        <v>251.568625</v>
      </c>
      <c r="K408" s="71">
        <v>274.79511500000001</v>
      </c>
      <c r="L408" s="71">
        <v>215.53874999999999</v>
      </c>
      <c r="M408" s="71">
        <v>14.737499999999999</v>
      </c>
      <c r="N408" s="71">
        <v>0</v>
      </c>
      <c r="O408" s="18" t="s">
        <v>39</v>
      </c>
      <c r="P408" s="18" t="s">
        <v>413</v>
      </c>
    </row>
    <row r="409" spans="1:16" x14ac:dyDescent="0.3">
      <c r="A409" s="64" t="s">
        <v>116</v>
      </c>
      <c r="B409" s="191" t="s">
        <v>224</v>
      </c>
      <c r="C409" s="71">
        <v>0</v>
      </c>
      <c r="D409" s="71">
        <v>0</v>
      </c>
      <c r="E409" s="71">
        <v>0</v>
      </c>
      <c r="F409" s="71">
        <v>0</v>
      </c>
      <c r="G409" s="71">
        <v>0</v>
      </c>
      <c r="H409" s="71">
        <v>0</v>
      </c>
      <c r="I409" s="71">
        <v>0</v>
      </c>
      <c r="J409" s="71">
        <v>5.3311125888888888</v>
      </c>
      <c r="K409" s="71">
        <v>5.3311125888888888</v>
      </c>
      <c r="L409" s="71">
        <v>5.3311125888888888</v>
      </c>
      <c r="M409" s="71">
        <v>0</v>
      </c>
      <c r="N409" s="71">
        <v>0</v>
      </c>
      <c r="O409" s="18" t="s">
        <v>39</v>
      </c>
      <c r="P409" s="18" t="s">
        <v>413</v>
      </c>
    </row>
    <row r="410" spans="1:16" x14ac:dyDescent="0.3">
      <c r="A410" s="64" t="s">
        <v>117</v>
      </c>
      <c r="B410" s="191" t="s">
        <v>224</v>
      </c>
      <c r="C410" s="71">
        <v>94.403500000000008</v>
      </c>
      <c r="D410" s="71">
        <v>174.54375000000002</v>
      </c>
      <c r="E410" s="71">
        <v>302.40780000000001</v>
      </c>
      <c r="F410" s="71">
        <v>286.39999999999998</v>
      </c>
      <c r="G410" s="71">
        <v>314.95999999999998</v>
      </c>
      <c r="H410" s="71">
        <v>203.11733333333331</v>
      </c>
      <c r="I410" s="71">
        <v>199.81589333333332</v>
      </c>
      <c r="J410" s="71">
        <v>344.53576544444445</v>
      </c>
      <c r="K410" s="71">
        <v>337.27</v>
      </c>
      <c r="L410" s="71">
        <v>344.53576544444445</v>
      </c>
      <c r="M410" s="71">
        <v>11.607579666666666</v>
      </c>
      <c r="N410" s="71">
        <v>0</v>
      </c>
      <c r="O410" s="18" t="s">
        <v>39</v>
      </c>
      <c r="P410" s="18" t="s">
        <v>413</v>
      </c>
    </row>
    <row r="411" spans="1:16" x14ac:dyDescent="0.3">
      <c r="A411" s="49" t="s">
        <v>416</v>
      </c>
      <c r="B411" s="191" t="s">
        <v>224</v>
      </c>
      <c r="C411" s="71">
        <v>0</v>
      </c>
      <c r="D411" s="71">
        <v>0</v>
      </c>
      <c r="E411" s="71">
        <v>0</v>
      </c>
      <c r="F411" s="71">
        <v>0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0</v>
      </c>
      <c r="N411" s="71">
        <v>0</v>
      </c>
      <c r="O411" s="18" t="s">
        <v>39</v>
      </c>
      <c r="P411" s="18" t="s">
        <v>413</v>
      </c>
    </row>
    <row r="412" spans="1:16" x14ac:dyDescent="0.3">
      <c r="A412" s="49" t="s">
        <v>417</v>
      </c>
      <c r="B412" s="191" t="s">
        <v>224</v>
      </c>
      <c r="C412" s="71">
        <v>54.722222222222221</v>
      </c>
      <c r="D412" s="71">
        <v>104.16666666666669</v>
      </c>
      <c r="E412" s="71">
        <v>100.83333333333333</v>
      </c>
      <c r="F412" s="71">
        <v>100.55555555555556</v>
      </c>
      <c r="G412" s="71">
        <v>105.00000000000001</v>
      </c>
      <c r="H412" s="71">
        <v>51.944444444444436</v>
      </c>
      <c r="I412" s="71">
        <v>46.388888888888886</v>
      </c>
      <c r="J412" s="71">
        <v>69.400743999999989</v>
      </c>
      <c r="K412" s="71">
        <v>73.768799999999985</v>
      </c>
      <c r="L412" s="71">
        <v>59.232199999999999</v>
      </c>
      <c r="M412" s="71">
        <v>37.029979999999995</v>
      </c>
      <c r="N412" s="71">
        <v>30.956831999999999</v>
      </c>
      <c r="O412" s="18" t="s">
        <v>39</v>
      </c>
      <c r="P412" s="18" t="s">
        <v>413</v>
      </c>
    </row>
    <row r="413" spans="1:16" x14ac:dyDescent="0.3">
      <c r="A413" s="49" t="s">
        <v>418</v>
      </c>
      <c r="B413" s="191" t="s">
        <v>224</v>
      </c>
      <c r="C413" s="71">
        <v>10.489277777777778</v>
      </c>
      <c r="D413" s="71">
        <v>19.393750000000001</v>
      </c>
      <c r="E413" s="71">
        <v>33.600866666666668</v>
      </c>
      <c r="F413" s="71">
        <v>31.822222222222223</v>
      </c>
      <c r="G413" s="71">
        <v>34.995555555555555</v>
      </c>
      <c r="H413" s="71">
        <v>26.393777777777778</v>
      </c>
      <c r="I413" s="71">
        <v>29.330773333333333</v>
      </c>
      <c r="J413" s="71">
        <v>0</v>
      </c>
      <c r="K413" s="71">
        <v>0</v>
      </c>
      <c r="L413" s="71">
        <v>1.2478644444444447</v>
      </c>
      <c r="M413" s="71">
        <v>0</v>
      </c>
      <c r="N413" s="71">
        <v>0</v>
      </c>
      <c r="O413" s="18" t="s">
        <v>39</v>
      </c>
      <c r="P413" s="18" t="s">
        <v>413</v>
      </c>
    </row>
    <row r="414" spans="1:16" x14ac:dyDescent="0.3">
      <c r="A414" s="50" t="s">
        <v>419</v>
      </c>
      <c r="B414" s="193" t="s">
        <v>224</v>
      </c>
      <c r="C414" s="75">
        <v>959.84805555555567</v>
      </c>
      <c r="D414" s="75">
        <v>1238.9910694444445</v>
      </c>
      <c r="E414" s="75">
        <v>1215.182361111111</v>
      </c>
      <c r="F414" s="75">
        <v>1168.0972222222222</v>
      </c>
      <c r="G414" s="75">
        <v>1220.45</v>
      </c>
      <c r="H414" s="75">
        <v>596.98194444444448</v>
      </c>
      <c r="I414" s="75">
        <v>513.5047222222222</v>
      </c>
      <c r="J414" s="75">
        <v>917.04191581111104</v>
      </c>
      <c r="K414" s="75">
        <v>1003.0161734999999</v>
      </c>
      <c r="L414" s="75">
        <v>939.92172099999993</v>
      </c>
      <c r="M414" s="75">
        <v>85.152287333333319</v>
      </c>
      <c r="N414" s="75">
        <v>30.956831999999999</v>
      </c>
      <c r="O414" s="18" t="s">
        <v>39</v>
      </c>
      <c r="P414" s="18" t="s">
        <v>413</v>
      </c>
    </row>
    <row r="415" spans="1:16" x14ac:dyDescent="0.3">
      <c r="A415" s="24" t="s">
        <v>102</v>
      </c>
      <c r="B415" s="25" t="s">
        <v>103</v>
      </c>
      <c r="C415" s="87">
        <f t="shared" ref="C415:N415" si="31">IFERROR((C400+C401+C402+C404+C405+C407+C408+C409+C410+C411+C412+C413)/C414,"")</f>
        <v>0.99999999999999989</v>
      </c>
      <c r="D415" s="87">
        <f t="shared" si="31"/>
        <v>1</v>
      </c>
      <c r="E415" s="87">
        <f t="shared" si="31"/>
        <v>1</v>
      </c>
      <c r="F415" s="87">
        <f t="shared" si="31"/>
        <v>1.0000000000000002</v>
      </c>
      <c r="G415" s="87">
        <f t="shared" si="31"/>
        <v>0.99999999999999978</v>
      </c>
      <c r="H415" s="87">
        <f t="shared" si="31"/>
        <v>0.99999999999999978</v>
      </c>
      <c r="I415" s="87">
        <f t="shared" si="31"/>
        <v>1</v>
      </c>
      <c r="J415" s="87">
        <f t="shared" si="31"/>
        <v>1.0000000000000002</v>
      </c>
      <c r="K415" s="87">
        <f t="shared" si="31"/>
        <v>1.0033403630299931</v>
      </c>
      <c r="L415" s="87">
        <f t="shared" si="31"/>
        <v>1.0036700618083825</v>
      </c>
      <c r="M415" s="87">
        <f t="shared" si="31"/>
        <v>1.0000000000000002</v>
      </c>
      <c r="N415" s="87">
        <f t="shared" si="31"/>
        <v>1</v>
      </c>
      <c r="O415" s="52"/>
      <c r="P415" s="52"/>
    </row>
    <row r="416" spans="1:16" x14ac:dyDescent="0.3">
      <c r="A416" s="49"/>
      <c r="B416" s="52"/>
      <c r="C416" s="87">
        <f t="shared" ref="C416:N416" si="32">IFERROR((C399+C403+C406+C411+C412+C413)/C414,"")</f>
        <v>0.99999999999999989</v>
      </c>
      <c r="D416" s="87">
        <f t="shared" si="32"/>
        <v>1</v>
      </c>
      <c r="E416" s="87">
        <f t="shared" si="32"/>
        <v>1</v>
      </c>
      <c r="F416" s="87">
        <f t="shared" si="32"/>
        <v>1.0000000000000002</v>
      </c>
      <c r="G416" s="87">
        <f t="shared" si="32"/>
        <v>0.99999999999999978</v>
      </c>
      <c r="H416" s="87">
        <f t="shared" si="32"/>
        <v>1</v>
      </c>
      <c r="I416" s="87">
        <f t="shared" si="32"/>
        <v>1</v>
      </c>
      <c r="J416" s="87">
        <f t="shared" si="32"/>
        <v>1.0000000000000002</v>
      </c>
      <c r="K416" s="87">
        <f t="shared" si="32"/>
        <v>1.0033403630299931</v>
      </c>
      <c r="L416" s="87">
        <f t="shared" si="32"/>
        <v>1.0012665644927443</v>
      </c>
      <c r="M416" s="87">
        <f t="shared" si="32"/>
        <v>1.0000000000000002</v>
      </c>
      <c r="N416" s="87">
        <f t="shared" si="32"/>
        <v>1</v>
      </c>
      <c r="O416" s="52"/>
      <c r="P416" s="52"/>
    </row>
    <row r="417" spans="1:16" x14ac:dyDescent="0.3">
      <c r="A417" s="49"/>
      <c r="B417" s="52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spans="1:16" ht="18" x14ac:dyDescent="0.35">
      <c r="A418" s="77" t="s">
        <v>183</v>
      </c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x14ac:dyDescent="0.3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ht="15.6" x14ac:dyDescent="0.3">
      <c r="A420" s="8" t="s">
        <v>420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1:16" ht="15.6" x14ac:dyDescent="0.3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1:16" ht="15.6" x14ac:dyDescent="0.3">
      <c r="A422" s="58" t="s">
        <v>421</v>
      </c>
      <c r="B422" s="79">
        <v>1</v>
      </c>
      <c r="C422" s="87">
        <f>C445</f>
        <v>1.0004673969163023</v>
      </c>
      <c r="D422" s="87">
        <f t="shared" ref="D422:N422" si="33">D445</f>
        <v>1.000482363786608</v>
      </c>
      <c r="E422" s="87">
        <f t="shared" si="33"/>
        <v>0.99945879144698002</v>
      </c>
      <c r="F422" s="87">
        <f t="shared" si="33"/>
        <v>1.0000805203681358</v>
      </c>
      <c r="G422" s="87">
        <f t="shared" si="33"/>
        <v>1.0000110987888826</v>
      </c>
      <c r="H422" s="87">
        <f t="shared" si="33"/>
        <v>0.99968783134852368</v>
      </c>
      <c r="I422" s="87">
        <f t="shared" si="33"/>
        <v>0.99993673888674295</v>
      </c>
      <c r="J422" s="87">
        <f t="shared" si="33"/>
        <v>0.99995656348289841</v>
      </c>
      <c r="K422" s="87">
        <f t="shared" si="33"/>
        <v>0.99994211559882562</v>
      </c>
      <c r="L422" s="87">
        <f t="shared" si="33"/>
        <v>1.0033519138524163</v>
      </c>
      <c r="M422" s="87">
        <f t="shared" si="33"/>
        <v>1.0002048480710137</v>
      </c>
      <c r="N422" s="87">
        <f t="shared" si="33"/>
        <v>1.0000000000000002</v>
      </c>
      <c r="O422" s="78"/>
      <c r="P422" s="78"/>
    </row>
    <row r="423" spans="1:16" ht="15.6" x14ac:dyDescent="0.3">
      <c r="A423" s="58" t="s">
        <v>422</v>
      </c>
      <c r="B423" s="79">
        <v>1</v>
      </c>
      <c r="C423" s="87">
        <f>C452</f>
        <v>1.0004027508247262</v>
      </c>
      <c r="D423" s="87">
        <f t="shared" ref="D423:N423" si="34">D452</f>
        <v>1.0004374869796515</v>
      </c>
      <c r="E423" s="87">
        <f t="shared" si="34"/>
        <v>0.99982974357711696</v>
      </c>
      <c r="F423" s="87">
        <f t="shared" si="34"/>
        <v>1.0000522074891733</v>
      </c>
      <c r="G423" s="87">
        <f t="shared" si="34"/>
        <v>0.99996040972090094</v>
      </c>
      <c r="H423" s="87">
        <f t="shared" si="34"/>
        <v>0.99985338594379081</v>
      </c>
      <c r="I423" s="87">
        <f t="shared" si="34"/>
        <v>0.99983825297210138</v>
      </c>
      <c r="J423" s="87">
        <f t="shared" si="34"/>
        <v>0.99992230245102398</v>
      </c>
      <c r="K423" s="87">
        <f t="shared" si="34"/>
        <v>0.99997643631437938</v>
      </c>
      <c r="L423" s="87">
        <f t="shared" si="34"/>
        <v>1.0030907915330793</v>
      </c>
      <c r="M423" s="87">
        <f t="shared" si="34"/>
        <v>1.0008780659134815</v>
      </c>
      <c r="N423" s="87">
        <f t="shared" si="34"/>
        <v>1.0000631592244047</v>
      </c>
      <c r="O423" s="78"/>
      <c r="P423" s="78"/>
    </row>
    <row r="424" spans="1:16" ht="15.6" x14ac:dyDescent="0.3">
      <c r="A424" s="58" t="s">
        <v>423</v>
      </c>
      <c r="B424" s="79">
        <v>1</v>
      </c>
      <c r="C424" s="87">
        <f>C477</f>
        <v>1.0008437319596786</v>
      </c>
      <c r="D424" s="87">
        <f t="shared" ref="D424:N424" si="35">D477</f>
        <v>1</v>
      </c>
      <c r="E424" s="87">
        <f t="shared" si="35"/>
        <v>1</v>
      </c>
      <c r="F424" s="87">
        <f t="shared" si="35"/>
        <v>1</v>
      </c>
      <c r="G424" s="87">
        <f t="shared" si="35"/>
        <v>1</v>
      </c>
      <c r="H424" s="87">
        <f t="shared" si="35"/>
        <v>1</v>
      </c>
      <c r="I424" s="87">
        <f t="shared" si="35"/>
        <v>1</v>
      </c>
      <c r="J424" s="87">
        <f t="shared" si="35"/>
        <v>1</v>
      </c>
      <c r="K424" s="87">
        <f t="shared" si="35"/>
        <v>1</v>
      </c>
      <c r="L424" s="87">
        <f t="shared" si="35"/>
        <v>1</v>
      </c>
      <c r="M424" s="87">
        <f t="shared" si="35"/>
        <v>1</v>
      </c>
      <c r="N424" s="87">
        <f t="shared" si="35"/>
        <v>1</v>
      </c>
      <c r="O424" s="78"/>
      <c r="P424" s="78"/>
    </row>
    <row r="425" spans="1:16" ht="15.6" x14ac:dyDescent="0.3">
      <c r="A425" s="58" t="s">
        <v>424</v>
      </c>
      <c r="B425" s="79">
        <v>1</v>
      </c>
      <c r="C425" s="87">
        <f>C484</f>
        <v>1.0105949176701099</v>
      </c>
      <c r="D425" s="87">
        <f t="shared" ref="D425:N425" si="36">D484</f>
        <v>1.0027004118593794</v>
      </c>
      <c r="E425" s="87">
        <f t="shared" si="36"/>
        <v>1.0029906070663548</v>
      </c>
      <c r="F425" s="87">
        <f t="shared" si="36"/>
        <v>1.0024320599076861</v>
      </c>
      <c r="G425" s="87">
        <f t="shared" si="36"/>
        <v>1.0010829045669349</v>
      </c>
      <c r="H425" s="87">
        <f t="shared" si="36"/>
        <v>1.0000034123317239</v>
      </c>
      <c r="I425" s="87">
        <f t="shared" si="36"/>
        <v>1.0000267064585247</v>
      </c>
      <c r="J425" s="87">
        <f t="shared" si="36"/>
        <v>0.99965647401232449</v>
      </c>
      <c r="K425" s="87">
        <f t="shared" si="36"/>
        <v>1.0090501156911473</v>
      </c>
      <c r="L425" s="87">
        <f t="shared" si="36"/>
        <v>1.0118440454353042</v>
      </c>
      <c r="M425" s="87">
        <f t="shared" si="36"/>
        <v>0.98720229307086049</v>
      </c>
      <c r="N425" s="87">
        <f t="shared" si="36"/>
        <v>0.99037568033983803</v>
      </c>
      <c r="O425" s="78"/>
      <c r="P425" s="78"/>
    </row>
    <row r="426" spans="1:16" x14ac:dyDescent="0.3">
      <c r="A426" s="58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</row>
    <row r="427" spans="1:16" ht="15.6" x14ac:dyDescent="0.3">
      <c r="A427" s="8" t="s">
        <v>425</v>
      </c>
      <c r="B427" s="8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</row>
    <row r="428" spans="1:16" x14ac:dyDescent="0.3">
      <c r="A428" s="58"/>
      <c r="B428" s="58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</row>
    <row r="429" spans="1:16" x14ac:dyDescent="0.3">
      <c r="A429" s="58" t="s">
        <v>426</v>
      </c>
      <c r="B429" s="63" t="s">
        <v>226</v>
      </c>
      <c r="C429" s="83">
        <f>C142/1000</f>
        <v>0.80750000000000011</v>
      </c>
      <c r="D429" s="83">
        <f t="shared" ref="D429:N429" si="37">D142/1000</f>
        <v>0.71472222222222215</v>
      </c>
      <c r="E429" s="83">
        <f t="shared" si="37"/>
        <v>0.70527777777777767</v>
      </c>
      <c r="F429" s="83">
        <f t="shared" si="37"/>
        <v>0.74444444444444458</v>
      </c>
      <c r="G429" s="83">
        <f t="shared" si="37"/>
        <v>0.73833333333333317</v>
      </c>
      <c r="H429" s="83">
        <f t="shared" si="37"/>
        <v>0.74972222222222207</v>
      </c>
      <c r="I429" s="83">
        <f t="shared" si="37"/>
        <v>0.77888888888888874</v>
      </c>
      <c r="J429" s="83">
        <f t="shared" si="37"/>
        <v>0.66833333333333333</v>
      </c>
      <c r="K429" s="83">
        <f t="shared" si="37"/>
        <v>0.65583333333333338</v>
      </c>
      <c r="L429" s="83">
        <f t="shared" si="37"/>
        <v>0.76277777777777789</v>
      </c>
      <c r="M429" s="83">
        <f t="shared" si="37"/>
        <v>0.8241666666666666</v>
      </c>
      <c r="N429" s="83">
        <f t="shared" si="37"/>
        <v>0.76833333333333309</v>
      </c>
      <c r="O429" s="79"/>
      <c r="P429" s="79"/>
    </row>
    <row r="430" spans="1:16" x14ac:dyDescent="0.3">
      <c r="A430" s="58" t="s">
        <v>427</v>
      </c>
      <c r="B430" s="63" t="s">
        <v>226</v>
      </c>
      <c r="C430" s="83">
        <f>C162/1000</f>
        <v>0.23108810000000002</v>
      </c>
      <c r="D430" s="83">
        <f t="shared" ref="D430:N430" si="38">D162/1000</f>
        <v>0.18951085000000004</v>
      </c>
      <c r="E430" s="83">
        <f t="shared" si="38"/>
        <v>0.183754</v>
      </c>
      <c r="F430" s="83">
        <f t="shared" si="38"/>
        <v>0.16214545999999999</v>
      </c>
      <c r="G430" s="83">
        <f t="shared" si="38"/>
        <v>0.17214726</v>
      </c>
      <c r="H430" s="83">
        <f t="shared" si="38"/>
        <v>0.15416728000000002</v>
      </c>
      <c r="I430" s="83">
        <f t="shared" si="38"/>
        <v>0.13261689000000002</v>
      </c>
      <c r="J430" s="83">
        <f t="shared" si="38"/>
        <v>0.1022277</v>
      </c>
      <c r="K430" s="83">
        <f t="shared" si="38"/>
        <v>0.10221606999999999</v>
      </c>
      <c r="L430" s="83">
        <f t="shared" si="38"/>
        <v>0.10485636877824274</v>
      </c>
      <c r="M430" s="83">
        <f t="shared" si="38"/>
        <v>0.10055555555555555</v>
      </c>
      <c r="N430" s="83">
        <f t="shared" si="38"/>
        <v>0.12722222222222221</v>
      </c>
      <c r="O430" s="79"/>
      <c r="P430" s="79"/>
    </row>
    <row r="431" spans="1:16" x14ac:dyDescent="0.3">
      <c r="A431" s="58" t="s">
        <v>428</v>
      </c>
      <c r="B431" s="63" t="s">
        <v>226</v>
      </c>
      <c r="C431" s="83">
        <f>C182/1000</f>
        <v>1.3379856162752626</v>
      </c>
      <c r="D431" s="83">
        <f t="shared" ref="D431:N431" si="39">D182/1000</f>
        <v>1.4314913425950917</v>
      </c>
      <c r="E431" s="83">
        <f t="shared" si="39"/>
        <v>1.1505246876816224</v>
      </c>
      <c r="F431" s="83">
        <f t="shared" si="39"/>
        <v>1.346551932494032</v>
      </c>
      <c r="G431" s="83">
        <f t="shared" si="39"/>
        <v>1.4154555555555555</v>
      </c>
      <c r="H431" s="83">
        <f t="shared" si="39"/>
        <v>1.5235300000000003</v>
      </c>
      <c r="I431" s="83">
        <f t="shared" si="39"/>
        <v>0.67270809940228049</v>
      </c>
      <c r="J431" s="83">
        <f t="shared" si="39"/>
        <v>0.71499999999999997</v>
      </c>
      <c r="K431" s="83">
        <f t="shared" si="39"/>
        <v>0.77413685888888895</v>
      </c>
      <c r="L431" s="83">
        <f t="shared" si="39"/>
        <v>0.84782700000000011</v>
      </c>
      <c r="M431" s="83">
        <f t="shared" si="39"/>
        <v>0.95944444444444432</v>
      </c>
      <c r="N431" s="83">
        <f t="shared" si="39"/>
        <v>0.80805555555555553</v>
      </c>
      <c r="O431" s="79"/>
      <c r="P431" s="79"/>
    </row>
    <row r="432" spans="1:16" x14ac:dyDescent="0.3">
      <c r="A432" s="58" t="s">
        <v>429</v>
      </c>
      <c r="B432" s="63" t="s">
        <v>226</v>
      </c>
      <c r="C432" s="83">
        <f>C203/1000</f>
        <v>0.78324640861840777</v>
      </c>
      <c r="D432" s="83">
        <f t="shared" ref="D432:N432" si="40">D203/1000</f>
        <v>0.74465129186756041</v>
      </c>
      <c r="E432" s="83">
        <f t="shared" si="40"/>
        <v>0.7379360454658962</v>
      </c>
      <c r="F432" s="83">
        <f t="shared" si="40"/>
        <v>0.70954730704730684</v>
      </c>
      <c r="G432" s="83">
        <f t="shared" si="40"/>
        <v>0.68999328355298506</v>
      </c>
      <c r="H432" s="83">
        <f t="shared" si="40"/>
        <v>0.69382679471485431</v>
      </c>
      <c r="I432" s="83">
        <f t="shared" si="40"/>
        <v>0.71728544257506677</v>
      </c>
      <c r="J432" s="83">
        <f t="shared" si="40"/>
        <v>0.84173857822422271</v>
      </c>
      <c r="K432" s="83">
        <f t="shared" si="40"/>
        <v>0.89551000000000003</v>
      </c>
      <c r="L432" s="83">
        <f t="shared" si="40"/>
        <v>0.7219444444444445</v>
      </c>
      <c r="M432" s="83">
        <f t="shared" si="40"/>
        <v>0.73277777777777775</v>
      </c>
      <c r="N432" s="83">
        <f t="shared" si="40"/>
        <v>0.68</v>
      </c>
      <c r="O432" s="79"/>
      <c r="P432" s="79"/>
    </row>
    <row r="433" spans="1:16" x14ac:dyDescent="0.3">
      <c r="A433" s="58" t="s">
        <v>430</v>
      </c>
      <c r="B433" s="63" t="s">
        <v>226</v>
      </c>
      <c r="C433" s="83">
        <f>C223/1000</f>
        <v>0.57983187755233323</v>
      </c>
      <c r="D433" s="83">
        <f t="shared" ref="D433:N433" si="41">D223/1000</f>
        <v>0.47425939311747978</v>
      </c>
      <c r="E433" s="83">
        <f t="shared" si="41"/>
        <v>0.5412704103215582</v>
      </c>
      <c r="F433" s="83">
        <f t="shared" si="41"/>
        <v>0.8672786458905648</v>
      </c>
      <c r="G433" s="83">
        <f t="shared" si="41"/>
        <v>0.35582125012903854</v>
      </c>
      <c r="H433" s="83">
        <f t="shared" si="41"/>
        <v>0.48979568110903515</v>
      </c>
      <c r="I433" s="83">
        <f t="shared" si="41"/>
        <v>0.44026485004845167</v>
      </c>
      <c r="J433" s="83">
        <f t="shared" si="41"/>
        <v>0.42251530479269933</v>
      </c>
      <c r="K433" s="83">
        <f t="shared" si="41"/>
        <v>0.38857016700663499</v>
      </c>
      <c r="L433" s="83">
        <f t="shared" si="41"/>
        <v>0.40328218318031772</v>
      </c>
      <c r="M433" s="83">
        <f t="shared" si="41"/>
        <v>0.37555555555555553</v>
      </c>
      <c r="N433" s="83">
        <f t="shared" si="41"/>
        <v>0.42388888888888887</v>
      </c>
      <c r="O433" s="79"/>
      <c r="P433" s="79"/>
    </row>
    <row r="434" spans="1:16" x14ac:dyDescent="0.3">
      <c r="A434" s="58" t="s">
        <v>431</v>
      </c>
      <c r="B434" s="63" t="s">
        <v>226</v>
      </c>
      <c r="C434" s="83">
        <f>C243/1000</f>
        <v>1.3213888888888889</v>
      </c>
      <c r="D434" s="83">
        <f t="shared" ref="D434:N434" si="42">D243/1000</f>
        <v>1.4894444444444443</v>
      </c>
      <c r="E434" s="83">
        <f t="shared" si="42"/>
        <v>1.3580555555555553</v>
      </c>
      <c r="F434" s="83">
        <f t="shared" si="42"/>
        <v>1.923888888888889</v>
      </c>
      <c r="G434" s="83">
        <f t="shared" si="42"/>
        <v>1.5041666666666667</v>
      </c>
      <c r="H434" s="83">
        <f t="shared" si="42"/>
        <v>0.98833333333333329</v>
      </c>
      <c r="I434" s="83">
        <f t="shared" si="42"/>
        <v>0.86305555555555546</v>
      </c>
      <c r="J434" s="83">
        <f t="shared" si="42"/>
        <v>1.1122222222222222</v>
      </c>
      <c r="K434" s="83">
        <f t="shared" si="42"/>
        <v>1.246388888888889</v>
      </c>
      <c r="L434" s="83">
        <f t="shared" si="42"/>
        <v>1.1216666666666668</v>
      </c>
      <c r="M434" s="83">
        <f t="shared" si="42"/>
        <v>0.39222222222222225</v>
      </c>
      <c r="N434" s="83">
        <f t="shared" si="42"/>
        <v>0.36749999999999999</v>
      </c>
      <c r="O434" s="79"/>
      <c r="P434" s="79"/>
    </row>
    <row r="435" spans="1:16" x14ac:dyDescent="0.3">
      <c r="A435" s="59" t="s">
        <v>432</v>
      </c>
      <c r="B435" s="63" t="s">
        <v>226</v>
      </c>
      <c r="C435" s="81">
        <f>C414/1000</f>
        <v>0.95984805555555563</v>
      </c>
      <c r="D435" s="81">
        <f t="shared" ref="D435:N435" si="43">D414/1000</f>
        <v>1.2389910694444446</v>
      </c>
      <c r="E435" s="81">
        <f t="shared" si="43"/>
        <v>1.215182361111111</v>
      </c>
      <c r="F435" s="81">
        <f t="shared" si="43"/>
        <v>1.1680972222222221</v>
      </c>
      <c r="G435" s="81">
        <f t="shared" si="43"/>
        <v>1.22045</v>
      </c>
      <c r="H435" s="81">
        <f t="shared" si="43"/>
        <v>0.59698194444444452</v>
      </c>
      <c r="I435" s="81">
        <f t="shared" si="43"/>
        <v>0.51350472222222221</v>
      </c>
      <c r="J435" s="81">
        <f t="shared" si="43"/>
        <v>0.91704191581111105</v>
      </c>
      <c r="K435" s="81">
        <f t="shared" si="43"/>
        <v>1.0030161734999998</v>
      </c>
      <c r="L435" s="81">
        <f t="shared" si="43"/>
        <v>0.93992172099999993</v>
      </c>
      <c r="M435" s="81">
        <f t="shared" si="43"/>
        <v>8.5152287333333326E-2</v>
      </c>
      <c r="N435" s="81">
        <f t="shared" si="43"/>
        <v>3.0956832E-2</v>
      </c>
      <c r="O435" s="79"/>
      <c r="P435" s="79"/>
    </row>
    <row r="436" spans="1:16" x14ac:dyDescent="0.3">
      <c r="A436" s="58" t="s">
        <v>433</v>
      </c>
      <c r="B436" s="63" t="s">
        <v>226</v>
      </c>
      <c r="C436" s="83">
        <f>C263/1000</f>
        <v>4.7222222222222223E-3</v>
      </c>
      <c r="D436" s="83">
        <f t="shared" ref="D436:N436" si="44">D263/1000</f>
        <v>4.7222222222222223E-3</v>
      </c>
      <c r="E436" s="83">
        <f t="shared" si="44"/>
        <v>2.2222222222222222E-3</v>
      </c>
      <c r="F436" s="83">
        <f t="shared" si="44"/>
        <v>2.2222222222222222E-3</v>
      </c>
      <c r="G436" s="83">
        <f t="shared" si="44"/>
        <v>1.6666666666666666E-3</v>
      </c>
      <c r="H436" s="83">
        <f t="shared" si="44"/>
        <v>1.3888888888888889E-3</v>
      </c>
      <c r="I436" s="83">
        <f t="shared" si="44"/>
        <v>4.7222222222222223E-3</v>
      </c>
      <c r="J436" s="83">
        <f t="shared" si="44"/>
        <v>5.0000000000000001E-3</v>
      </c>
      <c r="K436" s="83">
        <f t="shared" si="44"/>
        <v>6.6666666666666662E-3</v>
      </c>
      <c r="L436" s="83">
        <f t="shared" si="44"/>
        <v>1.3055555555555556E-2</v>
      </c>
      <c r="M436" s="83">
        <f t="shared" si="44"/>
        <v>1.0833333333333334E-2</v>
      </c>
      <c r="N436" s="83">
        <f t="shared" si="44"/>
        <v>1.388888888888889E-2</v>
      </c>
      <c r="O436" s="79"/>
      <c r="P436" s="79"/>
    </row>
    <row r="437" spans="1:16" x14ac:dyDescent="0.3">
      <c r="A437" s="58" t="s">
        <v>434</v>
      </c>
      <c r="B437" s="63" t="s">
        <v>226</v>
      </c>
      <c r="C437" s="83">
        <f>C283/1000</f>
        <v>3.4017194987647707E-2</v>
      </c>
      <c r="D437" s="83">
        <f t="shared" ref="D437:N437" si="45">D283/1000</f>
        <v>1.5401944444444444E-2</v>
      </c>
      <c r="E437" s="83">
        <f t="shared" si="45"/>
        <v>3.8872840284611077E-2</v>
      </c>
      <c r="F437" s="83">
        <f t="shared" si="45"/>
        <v>2.838267457232407E-2</v>
      </c>
      <c r="G437" s="83">
        <f t="shared" si="45"/>
        <v>2.8292777777777771E-2</v>
      </c>
      <c r="H437" s="83">
        <f t="shared" si="45"/>
        <v>1.5250162064047711E-2</v>
      </c>
      <c r="I437" s="83">
        <f t="shared" si="45"/>
        <v>1.8170419385871401E-2</v>
      </c>
      <c r="J437" s="83">
        <f t="shared" si="45"/>
        <v>1.275053406278494E-2</v>
      </c>
      <c r="K437" s="83">
        <f t="shared" si="45"/>
        <v>1.5496752481483959E-2</v>
      </c>
      <c r="L437" s="83">
        <f t="shared" si="45"/>
        <v>7.6987009925935839E-3</v>
      </c>
      <c r="M437" s="83">
        <f t="shared" si="45"/>
        <v>9.4444444444444445E-3</v>
      </c>
      <c r="N437" s="83">
        <f t="shared" si="45"/>
        <v>5.8333333333333327E-3</v>
      </c>
      <c r="O437" s="79"/>
      <c r="P437" s="79"/>
    </row>
    <row r="438" spans="1:16" x14ac:dyDescent="0.3">
      <c r="A438" s="58" t="s">
        <v>435</v>
      </c>
      <c r="B438" s="63" t="s">
        <v>226</v>
      </c>
      <c r="C438" s="83">
        <f>C303/1000</f>
        <v>0.47017852839577656</v>
      </c>
      <c r="D438" s="83">
        <f t="shared" ref="D438:N438" si="46">D303/1000</f>
        <v>0.48927612710638591</v>
      </c>
      <c r="E438" s="83">
        <f t="shared" si="46"/>
        <v>0.50227859571801592</v>
      </c>
      <c r="F438" s="83">
        <f t="shared" si="46"/>
        <v>0.46705962166899134</v>
      </c>
      <c r="G438" s="83">
        <f t="shared" si="46"/>
        <v>0.43336998452087927</v>
      </c>
      <c r="H438" s="83">
        <f t="shared" si="46"/>
        <v>0.40512069911898263</v>
      </c>
      <c r="I438" s="83">
        <f t="shared" si="46"/>
        <v>0.43881767713852127</v>
      </c>
      <c r="J438" s="83">
        <f t="shared" si="46"/>
        <v>0.4325713800559664</v>
      </c>
      <c r="K438" s="83">
        <f t="shared" si="46"/>
        <v>0.44719485733712472</v>
      </c>
      <c r="L438" s="83">
        <f t="shared" si="46"/>
        <v>0.37082866363966305</v>
      </c>
      <c r="M438" s="83">
        <f t="shared" si="46"/>
        <v>0.36222222222222222</v>
      </c>
      <c r="N438" s="83">
        <f t="shared" si="46"/>
        <v>0.45277777777777783</v>
      </c>
      <c r="O438" s="79"/>
      <c r="P438" s="79"/>
    </row>
    <row r="439" spans="1:16" x14ac:dyDescent="0.3">
      <c r="A439" s="59" t="s">
        <v>436</v>
      </c>
      <c r="B439" s="63" t="s">
        <v>226</v>
      </c>
      <c r="C439" s="81">
        <v>0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81">
        <v>0</v>
      </c>
      <c r="K439" s="81">
        <v>0</v>
      </c>
      <c r="L439" s="81">
        <v>0</v>
      </c>
      <c r="M439" s="81">
        <v>0</v>
      </c>
      <c r="N439" s="81">
        <v>0</v>
      </c>
      <c r="O439" s="79"/>
      <c r="P439" s="79"/>
    </row>
    <row r="440" spans="1:16" x14ac:dyDescent="0.3">
      <c r="A440" s="58" t="s">
        <v>437</v>
      </c>
      <c r="B440" s="63" t="s">
        <v>226</v>
      </c>
      <c r="C440" s="83">
        <f>C323/1000</f>
        <v>8.5724730000000013E-2</v>
      </c>
      <c r="D440" s="83">
        <f t="shared" ref="D440:N440" si="47">D323/1000</f>
        <v>8.1282069999999998E-2</v>
      </c>
      <c r="E440" s="83">
        <f t="shared" si="47"/>
        <v>0.12131253</v>
      </c>
      <c r="F440" s="83">
        <f t="shared" si="47"/>
        <v>0.13953674000000002</v>
      </c>
      <c r="G440" s="83">
        <f t="shared" si="47"/>
        <v>0.11980063000000002</v>
      </c>
      <c r="H440" s="83">
        <f t="shared" si="47"/>
        <v>0.12239412</v>
      </c>
      <c r="I440" s="83">
        <f t="shared" si="47"/>
        <v>0.1239758</v>
      </c>
      <c r="J440" s="83">
        <f t="shared" si="47"/>
        <v>0.12713916</v>
      </c>
      <c r="K440" s="83">
        <f t="shared" si="47"/>
        <v>0.13773409</v>
      </c>
      <c r="L440" s="83">
        <f t="shared" si="47"/>
        <v>9.746890258921434E-2</v>
      </c>
      <c r="M440" s="83">
        <f t="shared" si="47"/>
        <v>9.2499999999999999E-2</v>
      </c>
      <c r="N440" s="83">
        <f t="shared" si="47"/>
        <v>9.583333333333334E-2</v>
      </c>
      <c r="O440" s="79"/>
      <c r="P440" s="79"/>
    </row>
    <row r="441" spans="1:16" x14ac:dyDescent="0.3">
      <c r="A441" s="58" t="s">
        <v>438</v>
      </c>
      <c r="B441" s="63" t="s">
        <v>226</v>
      </c>
      <c r="C441" s="83">
        <f>C343/1000</f>
        <v>0.53915497324315564</v>
      </c>
      <c r="D441" s="83">
        <f t="shared" ref="D441:N441" si="48">D343/1000</f>
        <v>0.52181748224812941</v>
      </c>
      <c r="E441" s="83">
        <f t="shared" si="48"/>
        <v>0.47950991282519134</v>
      </c>
      <c r="F441" s="83">
        <f t="shared" si="48"/>
        <v>0.31837115386323039</v>
      </c>
      <c r="G441" s="83">
        <f t="shared" si="48"/>
        <v>0.30851660406197828</v>
      </c>
      <c r="H441" s="83">
        <f t="shared" si="48"/>
        <v>0.39779600592635483</v>
      </c>
      <c r="I441" s="83">
        <f t="shared" si="48"/>
        <v>0.29365490827969154</v>
      </c>
      <c r="J441" s="83">
        <f t="shared" si="48"/>
        <v>0.28585208118962196</v>
      </c>
      <c r="K441" s="83">
        <f t="shared" si="48"/>
        <v>0.27746593232216737</v>
      </c>
      <c r="L441" s="83">
        <f t="shared" si="48"/>
        <v>0.24205102228515959</v>
      </c>
      <c r="M441" s="83">
        <f t="shared" si="48"/>
        <v>0.20916666666666664</v>
      </c>
      <c r="N441" s="83">
        <f t="shared" si="48"/>
        <v>0.22416666666666663</v>
      </c>
      <c r="O441" s="79"/>
      <c r="P441" s="79"/>
    </row>
    <row r="442" spans="1:16" x14ac:dyDescent="0.3">
      <c r="A442" s="59" t="s">
        <v>439</v>
      </c>
      <c r="B442" s="63" t="s">
        <v>226</v>
      </c>
      <c r="C442" s="82">
        <f t="shared" ref="C442:L442" ca="1" si="49">IF(C$600&gt;UPDATEYR,"",IF(VLOOKUP($A442,$A$8:$AL$589,4,0)="TJ",IFERROR(INDEX($A$8:$AL$589,MATCH($A442,$A$8:$A$589,0),MATCH(C$600,$A$8:$AL$8,0))/1000/41.868,0),IFERROR(INDEX($A$8:$AL$589,MATCH($A442,$A$8:$A$589,0),MATCH(C$600,$A$8:$AL$8,0))/1000,0)))</f>
        <v>0</v>
      </c>
      <c r="D442" s="82">
        <f t="shared" ca="1" si="49"/>
        <v>0</v>
      </c>
      <c r="E442" s="82">
        <f t="shared" ca="1" si="49"/>
        <v>0</v>
      </c>
      <c r="F442" s="82">
        <f t="shared" ca="1" si="49"/>
        <v>0</v>
      </c>
      <c r="G442" s="82">
        <f t="shared" ca="1" si="49"/>
        <v>0</v>
      </c>
      <c r="H442" s="82">
        <f t="shared" ca="1" si="49"/>
        <v>0</v>
      </c>
      <c r="I442" s="82">
        <f t="shared" ca="1" si="49"/>
        <v>0</v>
      </c>
      <c r="J442" s="82">
        <f t="shared" ca="1" si="49"/>
        <v>0</v>
      </c>
      <c r="K442" s="82">
        <f t="shared" ca="1" si="49"/>
        <v>0</v>
      </c>
      <c r="L442" s="82">
        <f t="shared" ca="1" si="49"/>
        <v>0</v>
      </c>
      <c r="M442" s="83">
        <v>0</v>
      </c>
      <c r="N442" s="83">
        <v>0</v>
      </c>
      <c r="O442" s="79"/>
      <c r="P442" s="79"/>
    </row>
    <row r="443" spans="1:16" x14ac:dyDescent="0.3">
      <c r="A443" s="80" t="s">
        <v>440</v>
      </c>
      <c r="B443" s="288" t="s">
        <v>226</v>
      </c>
      <c r="C443" s="84">
        <f>SUM(C429:C441)-C435-C439</f>
        <v>6.1948385401836941</v>
      </c>
      <c r="D443" s="84">
        <f t="shared" ref="D443:N443" si="50">SUM(D429:D441)-D435-D439</f>
        <v>6.1565793902679813</v>
      </c>
      <c r="E443" s="84">
        <f t="shared" si="50"/>
        <v>5.8210145778524511</v>
      </c>
      <c r="F443" s="84">
        <f t="shared" si="50"/>
        <v>6.7094290910920051</v>
      </c>
      <c r="G443" s="84">
        <f t="shared" si="50"/>
        <v>5.7675640122648808</v>
      </c>
      <c r="H443" s="84">
        <f t="shared" si="50"/>
        <v>5.5413251873777192</v>
      </c>
      <c r="I443" s="84">
        <f t="shared" si="50"/>
        <v>4.4841607534965497</v>
      </c>
      <c r="J443" s="84">
        <f t="shared" si="50"/>
        <v>4.7253502938808509</v>
      </c>
      <c r="K443" s="84">
        <f t="shared" si="50"/>
        <v>4.9472136169251897</v>
      </c>
      <c r="L443" s="84">
        <f t="shared" si="50"/>
        <v>4.693457285909636</v>
      </c>
      <c r="M443" s="84">
        <f t="shared" si="50"/>
        <v>4.068888888888889</v>
      </c>
      <c r="N443" s="84">
        <f t="shared" si="50"/>
        <v>3.9675000000000002</v>
      </c>
      <c r="O443" s="79"/>
      <c r="P443" s="79"/>
    </row>
    <row r="444" spans="1:16" x14ac:dyDescent="0.3">
      <c r="A444" s="80" t="s">
        <v>441</v>
      </c>
      <c r="B444" s="288" t="s">
        <v>226</v>
      </c>
      <c r="C444" s="93">
        <f>C122/1000</f>
        <v>6.1919444444444451</v>
      </c>
      <c r="D444" s="93">
        <f t="shared" ref="D444:N444" si="51">D122/1000</f>
        <v>6.1536111111111129</v>
      </c>
      <c r="E444" s="93">
        <f t="shared" si="51"/>
        <v>5.8241666666666649</v>
      </c>
      <c r="F444" s="93">
        <f t="shared" si="51"/>
        <v>6.7088888888888896</v>
      </c>
      <c r="G444" s="93">
        <f t="shared" si="51"/>
        <v>5.7675000000000001</v>
      </c>
      <c r="H444" s="93">
        <f t="shared" si="51"/>
        <v>5.5430555555555552</v>
      </c>
      <c r="I444" s="93">
        <f t="shared" si="51"/>
        <v>4.4844444444444447</v>
      </c>
      <c r="J444" s="93">
        <f t="shared" si="51"/>
        <v>4.7255555555555544</v>
      </c>
      <c r="K444" s="93">
        <f t="shared" si="51"/>
        <v>4.9474999999999998</v>
      </c>
      <c r="L444" s="93">
        <f t="shared" si="51"/>
        <v>4.677777777777778</v>
      </c>
      <c r="M444" s="93">
        <f t="shared" si="51"/>
        <v>4.0680555555555564</v>
      </c>
      <c r="N444" s="93">
        <f t="shared" si="51"/>
        <v>3.9674999999999994</v>
      </c>
      <c r="O444" s="79"/>
      <c r="P444" s="79"/>
    </row>
    <row r="445" spans="1:16" x14ac:dyDescent="0.3">
      <c r="A445" s="24" t="s">
        <v>442</v>
      </c>
      <c r="B445" s="49"/>
      <c r="C445" s="87">
        <f t="shared" ref="C445:N445" si="52">IFERROR((C443/C444),"")</f>
        <v>1.0004673969163023</v>
      </c>
      <c r="D445" s="87">
        <f t="shared" si="52"/>
        <v>1.000482363786608</v>
      </c>
      <c r="E445" s="87">
        <f t="shared" si="52"/>
        <v>0.99945879144698002</v>
      </c>
      <c r="F445" s="87">
        <f t="shared" si="52"/>
        <v>1.0000805203681358</v>
      </c>
      <c r="G445" s="87">
        <f t="shared" si="52"/>
        <v>1.0000110987888826</v>
      </c>
      <c r="H445" s="87">
        <f t="shared" si="52"/>
        <v>0.99968783134852368</v>
      </c>
      <c r="I445" s="87">
        <f t="shared" si="52"/>
        <v>0.99993673888674295</v>
      </c>
      <c r="J445" s="87">
        <f t="shared" si="52"/>
        <v>0.99995656348289841</v>
      </c>
      <c r="K445" s="87">
        <f t="shared" si="52"/>
        <v>0.99994211559882562</v>
      </c>
      <c r="L445" s="87">
        <f t="shared" si="52"/>
        <v>1.0033519138524163</v>
      </c>
      <c r="M445" s="87">
        <f t="shared" si="52"/>
        <v>1.0002048480710137</v>
      </c>
      <c r="N445" s="87">
        <f t="shared" si="52"/>
        <v>1.0000000000000002</v>
      </c>
      <c r="O445" s="79"/>
      <c r="P445" s="79"/>
    </row>
    <row r="446" spans="1:16" x14ac:dyDescent="0.3">
      <c r="A446" s="42"/>
      <c r="B446" s="49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79"/>
      <c r="P446" s="79"/>
    </row>
    <row r="447" spans="1:16" x14ac:dyDescent="0.3">
      <c r="A447" s="58" t="s">
        <v>443</v>
      </c>
      <c r="B447" s="52" t="s">
        <v>226</v>
      </c>
      <c r="C447" s="83">
        <f>C366/1000</f>
        <v>0.1049059476951148</v>
      </c>
      <c r="D447" s="83">
        <f t="shared" ref="D447:N447" si="53">D366/1000</f>
        <v>0.11806923626165601</v>
      </c>
      <c r="E447" s="83">
        <f t="shared" si="53"/>
        <v>0.15634402572009209</v>
      </c>
      <c r="F447" s="83">
        <f t="shared" si="53"/>
        <v>0.1653416870353899</v>
      </c>
      <c r="G447" s="83">
        <f t="shared" si="53"/>
        <v>0.13479061395884689</v>
      </c>
      <c r="H447" s="83">
        <f t="shared" si="53"/>
        <v>0.12704262782622938</v>
      </c>
      <c r="I447" s="83">
        <f t="shared" si="53"/>
        <v>0.1413167676500259</v>
      </c>
      <c r="J447" s="83">
        <f t="shared" si="53"/>
        <v>0.10754367397387656</v>
      </c>
      <c r="K447" s="83">
        <f t="shared" si="53"/>
        <v>0.11389034156124277</v>
      </c>
      <c r="L447" s="83">
        <f t="shared" si="53"/>
        <v>9.0837167057390422E-2</v>
      </c>
      <c r="M447" s="83">
        <f t="shared" si="53"/>
        <v>5.3611111111111109E-2</v>
      </c>
      <c r="N447" s="83">
        <f t="shared" si="53"/>
        <v>6.6666666666666666E-2</v>
      </c>
      <c r="O447" s="79"/>
      <c r="P447" s="79"/>
    </row>
    <row r="448" spans="1:16" x14ac:dyDescent="0.3">
      <c r="A448" s="58" t="s">
        <v>444</v>
      </c>
      <c r="B448" s="52" t="s">
        <v>226</v>
      </c>
      <c r="C448" s="83">
        <f>C372/1000</f>
        <v>0</v>
      </c>
      <c r="D448" s="83">
        <f t="shared" ref="D448:N448" si="54">D372/1000</f>
        <v>0</v>
      </c>
      <c r="E448" s="83">
        <f t="shared" si="54"/>
        <v>0</v>
      </c>
      <c r="F448" s="83">
        <f t="shared" si="54"/>
        <v>0</v>
      </c>
      <c r="G448" s="83">
        <f t="shared" si="54"/>
        <v>0</v>
      </c>
      <c r="H448" s="83">
        <f t="shared" si="54"/>
        <v>0</v>
      </c>
      <c r="I448" s="83">
        <f t="shared" si="54"/>
        <v>0</v>
      </c>
      <c r="J448" s="83">
        <f t="shared" si="54"/>
        <v>0</v>
      </c>
      <c r="K448" s="83">
        <f t="shared" si="54"/>
        <v>0</v>
      </c>
      <c r="L448" s="83">
        <f t="shared" si="54"/>
        <v>0</v>
      </c>
      <c r="M448" s="83">
        <f t="shared" si="54"/>
        <v>0</v>
      </c>
      <c r="N448" s="83">
        <f t="shared" si="54"/>
        <v>0</v>
      </c>
      <c r="O448" s="79"/>
      <c r="P448" s="79"/>
    </row>
    <row r="449" spans="1:16" x14ac:dyDescent="0.3">
      <c r="A449" s="58" t="s">
        <v>445</v>
      </c>
      <c r="B449" s="52" t="s">
        <v>226</v>
      </c>
      <c r="C449" s="241">
        <f>C391/1000</f>
        <v>0.42157254939831745</v>
      </c>
      <c r="D449" s="83">
        <f t="shared" ref="D449:N449" si="55">D391/1000</f>
        <v>0.54444444444444451</v>
      </c>
      <c r="E449" s="83">
        <f t="shared" si="55"/>
        <v>0.58180224477766951</v>
      </c>
      <c r="F449" s="83">
        <f t="shared" si="55"/>
        <v>0.56422868419276484</v>
      </c>
      <c r="G449" s="83">
        <f t="shared" si="55"/>
        <v>0.56183388906094023</v>
      </c>
      <c r="H449" s="83">
        <f t="shared" si="55"/>
        <v>0.55294214177963752</v>
      </c>
      <c r="I449" s="83">
        <f t="shared" si="55"/>
        <v>0.69782797738572067</v>
      </c>
      <c r="J449" s="83">
        <f t="shared" si="55"/>
        <v>0.58362959328344433</v>
      </c>
      <c r="K449" s="83">
        <f t="shared" si="55"/>
        <v>0.61237346143612204</v>
      </c>
      <c r="L449" s="83">
        <f t="shared" si="55"/>
        <v>0.57360355547452413</v>
      </c>
      <c r="M449" s="83">
        <f t="shared" si="55"/>
        <v>0.62694444444444442</v>
      </c>
      <c r="N449" s="83">
        <f t="shared" si="55"/>
        <v>0.36416666666666669</v>
      </c>
      <c r="O449" s="79"/>
      <c r="P449" s="79"/>
    </row>
    <row r="450" spans="1:16" x14ac:dyDescent="0.3">
      <c r="A450" s="80" t="s">
        <v>446</v>
      </c>
      <c r="B450" s="57" t="s">
        <v>226</v>
      </c>
      <c r="C450" s="242">
        <f t="shared" ref="C450:N450" si="56">IF(C$599&gt;UPDATEYR,"",C443+C447+C448+C449)</f>
        <v>6.7213170372771263</v>
      </c>
      <c r="D450" s="85">
        <f t="shared" si="56"/>
        <v>6.8190930709740813</v>
      </c>
      <c r="E450" s="85">
        <f t="shared" si="56"/>
        <v>6.5591608483502135</v>
      </c>
      <c r="F450" s="85">
        <f t="shared" si="56"/>
        <v>7.4389994623201599</v>
      </c>
      <c r="G450" s="85">
        <f t="shared" si="56"/>
        <v>6.4641885152846683</v>
      </c>
      <c r="H450" s="85">
        <f t="shared" si="56"/>
        <v>6.2213099569835864</v>
      </c>
      <c r="I450" s="85">
        <f t="shared" si="56"/>
        <v>5.3233054985322967</v>
      </c>
      <c r="J450" s="85">
        <f t="shared" si="56"/>
        <v>5.4165235611381721</v>
      </c>
      <c r="K450" s="85">
        <f t="shared" si="56"/>
        <v>5.6734774199225546</v>
      </c>
      <c r="L450" s="85">
        <f t="shared" si="56"/>
        <v>5.3578980084415511</v>
      </c>
      <c r="M450" s="85">
        <f t="shared" si="56"/>
        <v>4.7494444444444452</v>
      </c>
      <c r="N450" s="242">
        <f t="shared" si="56"/>
        <v>4.3983333333333334</v>
      </c>
      <c r="O450" s="79"/>
      <c r="P450" s="79"/>
    </row>
    <row r="451" spans="1:16" x14ac:dyDescent="0.3">
      <c r="A451" s="80" t="s">
        <v>447</v>
      </c>
      <c r="B451" s="57" t="s">
        <v>226</v>
      </c>
      <c r="C451" s="243">
        <f>'Macroeconomy (GWh)'!C73/1000</f>
        <v>6.7186111111111124</v>
      </c>
      <c r="D451" s="243">
        <f>'Macroeconomy (GWh)'!D73/1000</f>
        <v>6.8161111111111117</v>
      </c>
      <c r="E451" s="243">
        <f>'Macroeconomy (GWh)'!E73/1000</f>
        <v>6.5602777777777774</v>
      </c>
      <c r="F451" s="243">
        <f>'Macroeconomy (GWh)'!F73/1000</f>
        <v>7.4386111111111113</v>
      </c>
      <c r="G451" s="243">
        <f>'Macroeconomy (GWh)'!G73/1000</f>
        <v>6.4644444444444442</v>
      </c>
      <c r="H451" s="243">
        <f>'Macroeconomy (GWh)'!H73/1000</f>
        <v>6.2222222222222214</v>
      </c>
      <c r="I451" s="243">
        <f>'Macroeconomy (GWh)'!I73/1000</f>
        <v>5.3241666666666667</v>
      </c>
      <c r="J451" s="243">
        <f>'Macroeconomy (GWh)'!J73/1000</f>
        <v>5.4169444444444448</v>
      </c>
      <c r="K451" s="243">
        <f>'Macroeconomy (GWh)'!K73/1000</f>
        <v>5.6736111111111107</v>
      </c>
      <c r="L451" s="243">
        <f>'Macroeconomy (GWh)'!L73/1000</f>
        <v>5.341388888888889</v>
      </c>
      <c r="M451" s="243">
        <f>'Macroeconomy (GWh)'!M73/1000</f>
        <v>4.745277777777777</v>
      </c>
      <c r="N451" s="243">
        <f>'Macroeconomy (GWh)'!N73/1000</f>
        <v>4.3980555555555556</v>
      </c>
      <c r="O451" s="79"/>
      <c r="P451" s="79"/>
    </row>
    <row r="452" spans="1:16" x14ac:dyDescent="0.3">
      <c r="A452" s="24" t="s">
        <v>448</v>
      </c>
      <c r="B452" s="25" t="s">
        <v>103</v>
      </c>
      <c r="C452" s="87">
        <f>IFERROR((C443+C447+C448+C449)/C451,"")</f>
        <v>1.0004027508247262</v>
      </c>
      <c r="D452" s="87">
        <f t="shared" ref="D452:N452" si="57">IFERROR((D443+D447+D448+D449)/D451,"")</f>
        <v>1.0004374869796515</v>
      </c>
      <c r="E452" s="87">
        <f t="shared" si="57"/>
        <v>0.99982974357711696</v>
      </c>
      <c r="F452" s="87">
        <f t="shared" si="57"/>
        <v>1.0000522074891733</v>
      </c>
      <c r="G452" s="87">
        <f t="shared" si="57"/>
        <v>0.99996040972090094</v>
      </c>
      <c r="H452" s="87">
        <f t="shared" si="57"/>
        <v>0.99985338594379081</v>
      </c>
      <c r="I452" s="87">
        <f t="shared" si="57"/>
        <v>0.99983825297210138</v>
      </c>
      <c r="J452" s="87">
        <f t="shared" si="57"/>
        <v>0.99992230245102398</v>
      </c>
      <c r="K452" s="87">
        <f t="shared" si="57"/>
        <v>0.99997643631437938</v>
      </c>
      <c r="L452" s="87">
        <f t="shared" si="57"/>
        <v>1.0030907915330793</v>
      </c>
      <c r="M452" s="87">
        <f t="shared" si="57"/>
        <v>1.0008780659134815</v>
      </c>
      <c r="N452" s="87">
        <f t="shared" si="57"/>
        <v>1.0000631592244047</v>
      </c>
      <c r="O452" s="79"/>
      <c r="P452" s="79"/>
    </row>
    <row r="453" spans="1:16" x14ac:dyDescent="0.3">
      <c r="A453" s="49"/>
      <c r="B453" s="49"/>
      <c r="C453" s="240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spans="1:16" x14ac:dyDescent="0.3">
      <c r="A454" s="58" t="s">
        <v>449</v>
      </c>
      <c r="B454" s="63" t="s">
        <v>103</v>
      </c>
      <c r="C454" s="91">
        <f>C413/C414</f>
        <v>1.0928060662379143E-2</v>
      </c>
      <c r="D454" s="91">
        <f t="shared" ref="D454:N454" si="58">D413/D414</f>
        <v>1.5652856972323482E-2</v>
      </c>
      <c r="E454" s="91">
        <f t="shared" si="58"/>
        <v>2.7650884132274161E-2</v>
      </c>
      <c r="F454" s="91">
        <f t="shared" si="58"/>
        <v>2.724278563190374E-2</v>
      </c>
      <c r="G454" s="91">
        <f t="shared" si="58"/>
        <v>2.867430501499902E-2</v>
      </c>
      <c r="H454" s="91">
        <f t="shared" si="58"/>
        <v>4.4212020184865072E-2</v>
      </c>
      <c r="I454" s="91">
        <f t="shared" si="58"/>
        <v>5.7118799621554923E-2</v>
      </c>
      <c r="J454" s="91">
        <f t="shared" si="58"/>
        <v>0</v>
      </c>
      <c r="K454" s="91">
        <f t="shared" si="58"/>
        <v>0</v>
      </c>
      <c r="L454" s="91">
        <f t="shared" si="58"/>
        <v>1.3276259251853641E-3</v>
      </c>
      <c r="M454" s="91">
        <f t="shared" si="58"/>
        <v>0</v>
      </c>
      <c r="N454" s="91">
        <f t="shared" si="58"/>
        <v>0</v>
      </c>
      <c r="O454" s="49"/>
      <c r="P454" s="49"/>
    </row>
    <row r="455" spans="1:16" x14ac:dyDescent="0.3">
      <c r="A455" s="58" t="s">
        <v>450</v>
      </c>
      <c r="B455" s="63" t="s">
        <v>103</v>
      </c>
      <c r="C455" s="92">
        <f>IFERROR(C202/C203,"")</f>
        <v>0.10036574728733917</v>
      </c>
      <c r="D455" s="92">
        <f t="shared" ref="D455:N455" si="59">IFERROR(D202/D203,"")</f>
        <v>8.9154332523062957E-2</v>
      </c>
      <c r="E455" s="92">
        <f t="shared" si="59"/>
        <v>7.9425732719299494E-2</v>
      </c>
      <c r="F455" s="92">
        <f t="shared" si="59"/>
        <v>6.6944091716259702E-2</v>
      </c>
      <c r="G455" s="92">
        <f t="shared" si="59"/>
        <v>0.10225542369375476</v>
      </c>
      <c r="H455" s="92">
        <f t="shared" si="59"/>
        <v>0.11290041539189388</v>
      </c>
      <c r="I455" s="92">
        <f t="shared" si="59"/>
        <v>4.492245389303301E-2</v>
      </c>
      <c r="J455" s="92">
        <f t="shared" si="59"/>
        <v>9.9001442358906538E-2</v>
      </c>
      <c r="K455" s="92">
        <f t="shared" si="59"/>
        <v>0.10670517979202418</v>
      </c>
      <c r="L455" s="92">
        <f t="shared" si="59"/>
        <v>6.5409772989611384E-2</v>
      </c>
      <c r="M455" s="92">
        <f t="shared" si="59"/>
        <v>6.7854435178165279E-2</v>
      </c>
      <c r="N455" s="92">
        <f t="shared" si="59"/>
        <v>1.3071895424836602E-2</v>
      </c>
      <c r="O455" s="49"/>
      <c r="P455" s="49"/>
    </row>
    <row r="456" spans="1:16" x14ac:dyDescent="0.3">
      <c r="A456" s="58" t="s">
        <v>451</v>
      </c>
      <c r="B456" s="63" t="s">
        <v>103</v>
      </c>
      <c r="C456" s="92">
        <f>IFERROR('Macroeconomy (GWh)'!C72/'Macroeconomy (GWh)'!C73,"")</f>
        <v>0.18067556952081695</v>
      </c>
      <c r="D456" s="92">
        <f>IFERROR('Macroeconomy (GWh)'!D72/'Macroeconomy (GWh)'!D73,"")</f>
        <v>0.18673078490504524</v>
      </c>
      <c r="E456" s="92">
        <f>IFERROR('Macroeconomy (GWh)'!E72/'Macroeconomy (GWh)'!E73,"")</f>
        <v>0.13549561756361944</v>
      </c>
      <c r="F456" s="92">
        <f>IFERROR('Macroeconomy (GWh)'!F72/'Macroeconomy (GWh)'!F73,"")</f>
        <v>0.13178236677993949</v>
      </c>
      <c r="G456" s="92">
        <f>IFERROR('Macroeconomy (GWh)'!G72/'Macroeconomy (GWh)'!G73,"")</f>
        <v>0.16049329666552081</v>
      </c>
      <c r="H456" s="92">
        <f>IFERROR('Macroeconomy (GWh)'!H72/'Macroeconomy (GWh)'!H73,"")</f>
        <v>0.20401785714285714</v>
      </c>
      <c r="I456" s="92">
        <f>IFERROR('Macroeconomy (GWh)'!I72/'Macroeconomy (GWh)'!I73,"")</f>
        <v>2.5877810820681382E-2</v>
      </c>
      <c r="J456" s="92">
        <f>IFERROR('Macroeconomy (GWh)'!J72/'Macroeconomy (GWh)'!J73,"")</f>
        <v>5.1894774626942204E-2</v>
      </c>
      <c r="K456" s="92">
        <f>IFERROR('Macroeconomy (GWh)'!K72/'Macroeconomy (GWh)'!K73,"")</f>
        <v>6.8690330477356176E-2</v>
      </c>
      <c r="L456" s="92">
        <f>IFERROR('Macroeconomy (GWh)'!L72/'Macroeconomy (GWh)'!L73,"")</f>
        <v>3.1826928077383118E-2</v>
      </c>
      <c r="M456" s="92">
        <f>IFERROR('Macroeconomy (GWh)'!M72/'Macroeconomy (GWh)'!M73,"")</f>
        <v>4.5835040683720664E-2</v>
      </c>
      <c r="N456" s="92">
        <f>IFERROR('Macroeconomy (GWh)'!N72/'Macroeconomy (GWh)'!N73,"")</f>
        <v>2.9747994694625152E-2</v>
      </c>
      <c r="O456" s="49"/>
      <c r="P456" s="49"/>
    </row>
    <row r="457" spans="1:16" x14ac:dyDescent="0.3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spans="1:16" x14ac:dyDescent="0.3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spans="1:16" ht="15.6" x14ac:dyDescent="0.3">
      <c r="A459" s="8" t="s">
        <v>197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spans="1:16" x14ac:dyDescent="0.3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spans="1:16" x14ac:dyDescent="0.3">
      <c r="A461" s="49" t="s">
        <v>452</v>
      </c>
      <c r="B461" s="52" t="s">
        <v>66</v>
      </c>
      <c r="C461" s="71">
        <f>IFERROR(C36/'Macroeconomy (GWh)'!$C$15,0)</f>
        <v>351</v>
      </c>
      <c r="D461" s="71">
        <f>IFERROR(D36/'Macroeconomy (GWh)'!$C$15,0)</f>
        <v>351.8</v>
      </c>
      <c r="E461" s="71">
        <f>IFERROR(E36/'Macroeconomy (GWh)'!$C$15,0)</f>
        <v>344.4</v>
      </c>
      <c r="F461" s="71">
        <f>IFERROR(F36/'Macroeconomy (GWh)'!$C$15,0)</f>
        <v>361.1</v>
      </c>
      <c r="G461" s="71">
        <f>IFERROR(G36/'Macroeconomy (GWh)'!$C$15,0)</f>
        <v>388.6</v>
      </c>
      <c r="H461" s="71">
        <f>IFERROR(H36/'Macroeconomy (GWh)'!$C$15,0)</f>
        <v>380.2</v>
      </c>
      <c r="I461" s="71">
        <f>IFERROR(I36/'Macroeconomy (GWh)'!$C$15,0)</f>
        <v>383.9</v>
      </c>
      <c r="J461" s="71">
        <f>IFERROR(J36/'Macroeconomy (GWh)'!$C$15,0)</f>
        <v>401.1</v>
      </c>
      <c r="K461" s="71">
        <f>IFERROR(K36/'Macroeconomy (GWh)'!$C$15,0)</f>
        <v>410.2</v>
      </c>
      <c r="L461" s="71">
        <f>IFERROR(L36/'Macroeconomy (GWh)'!$C$15,0)</f>
        <v>411.2</v>
      </c>
      <c r="M461" s="71">
        <f>IFERROR(M36/'Macroeconomy (GWh)'!$C$15,0)</f>
        <v>390.8</v>
      </c>
      <c r="N461" s="71">
        <f>IFERROR(N36/'Macroeconomy (GWh)'!$C$15,0)</f>
        <v>455</v>
      </c>
      <c r="O461" s="79"/>
      <c r="P461" s="79"/>
    </row>
    <row r="462" spans="1:16" x14ac:dyDescent="0.3">
      <c r="A462" s="49" t="s">
        <v>453</v>
      </c>
      <c r="B462" s="52" t="s">
        <v>66</v>
      </c>
      <c r="C462" s="71">
        <f>IFERROR(C37/'Macroeconomy (GWh)'!$C$15,0)</f>
        <v>154</v>
      </c>
      <c r="D462" s="71">
        <f>IFERROR(D37/'Macroeconomy (GWh)'!$C$15,0)</f>
        <v>162.69999999999999</v>
      </c>
      <c r="E462" s="71">
        <f>IFERROR(E37/'Macroeconomy (GWh)'!$C$15,0)</f>
        <v>169.8</v>
      </c>
      <c r="F462" s="71">
        <f>IFERROR(F37/'Macroeconomy (GWh)'!$C$15,0)</f>
        <v>161.9</v>
      </c>
      <c r="G462" s="71">
        <f>IFERROR(G37/'Macroeconomy (GWh)'!$C$15,0)</f>
        <v>167</v>
      </c>
      <c r="H462" s="71">
        <f>IFERROR(H37/'Macroeconomy (GWh)'!$C$15,0)</f>
        <v>172.8</v>
      </c>
      <c r="I462" s="71">
        <f>IFERROR(I37/'Macroeconomy (GWh)'!$C$15,0)</f>
        <v>180.7</v>
      </c>
      <c r="J462" s="71">
        <f>IFERROR(J37/'Macroeconomy (GWh)'!$C$15,0)</f>
        <v>190</v>
      </c>
      <c r="K462" s="71">
        <f>IFERROR(K37/'Macroeconomy (GWh)'!$C$15,0)</f>
        <v>174.9</v>
      </c>
      <c r="L462" s="71">
        <f>IFERROR(L37/'Macroeconomy (GWh)'!$C$15,0)</f>
        <v>164.5</v>
      </c>
      <c r="M462" s="71">
        <f>IFERROR(M37/'Macroeconomy (GWh)'!$C$15,0)</f>
        <v>142.80000000000001</v>
      </c>
      <c r="N462" s="71">
        <f>IFERROR(N37/'Macroeconomy (GWh)'!$C$15,0)</f>
        <v>148.30000000000001</v>
      </c>
      <c r="O462" s="79"/>
      <c r="P462" s="79"/>
    </row>
    <row r="463" spans="1:16" x14ac:dyDescent="0.3">
      <c r="A463" s="49" t="s">
        <v>454</v>
      </c>
      <c r="B463" s="52" t="s">
        <v>66</v>
      </c>
      <c r="C463" s="71">
        <f>IFERROR(C38/'Macroeconomy (GWh)'!$C$15,0)</f>
        <v>318.10000000000002</v>
      </c>
      <c r="D463" s="71">
        <f>IFERROR(D38/'Macroeconomy (GWh)'!$C$15,0)</f>
        <v>368.6</v>
      </c>
      <c r="E463" s="71">
        <f>IFERROR(E38/'Macroeconomy (GWh)'!$C$15,0)</f>
        <v>370.8</v>
      </c>
      <c r="F463" s="71">
        <f>IFERROR(F38/'Macroeconomy (GWh)'!$C$15,0)</f>
        <v>382.8</v>
      </c>
      <c r="G463" s="71">
        <f>IFERROR(G38/'Macroeconomy (GWh)'!$C$15,0)</f>
        <v>438.6</v>
      </c>
      <c r="H463" s="71">
        <f>IFERROR(H38/'Macroeconomy (GWh)'!$C$15,0)</f>
        <v>481.2</v>
      </c>
      <c r="I463" s="71">
        <f>IFERROR(I38/'Macroeconomy (GWh)'!$C$15,0)</f>
        <v>495.6</v>
      </c>
      <c r="J463" s="71">
        <f>IFERROR(J38/'Macroeconomy (GWh)'!$C$15,0)</f>
        <v>527.4</v>
      </c>
      <c r="K463" s="71">
        <f>IFERROR(K38/'Macroeconomy (GWh)'!$C$15,0)</f>
        <v>552.29999999999995</v>
      </c>
      <c r="L463" s="71">
        <f>IFERROR(L38/'Macroeconomy (GWh)'!$C$15,0)</f>
        <v>566.9</v>
      </c>
      <c r="M463" s="71">
        <f>IFERROR(M38/'Macroeconomy (GWh)'!$C$15,0)</f>
        <v>513.1</v>
      </c>
      <c r="N463" s="71">
        <f>IFERROR(N38/'Macroeconomy (GWh)'!$C$15,0)</f>
        <v>521.6</v>
      </c>
      <c r="O463" s="79"/>
      <c r="P463" s="79"/>
    </row>
    <row r="464" spans="1:16" x14ac:dyDescent="0.3">
      <c r="A464" s="49" t="s">
        <v>455</v>
      </c>
      <c r="B464" s="52" t="s">
        <v>66</v>
      </c>
      <c r="C464" s="71">
        <f>IFERROR(C39/'Macroeconomy (GWh)'!$C$15,0)</f>
        <v>123.9</v>
      </c>
      <c r="D464" s="71">
        <f>IFERROR(D39/'Macroeconomy (GWh)'!$C$15,0)</f>
        <v>122</v>
      </c>
      <c r="E464" s="71">
        <f>IFERROR(E39/'Macroeconomy (GWh)'!$C$15,0)</f>
        <v>135.6</v>
      </c>
      <c r="F464" s="71">
        <f>IFERROR(F39/'Macroeconomy (GWh)'!$C$15,0)</f>
        <v>135.4</v>
      </c>
      <c r="G464" s="71">
        <f>IFERROR(G39/'Macroeconomy (GWh)'!$C$15,0)</f>
        <v>136.19999999999999</v>
      </c>
      <c r="H464" s="71">
        <f>IFERROR(H39/'Macroeconomy (GWh)'!$C$15,0)</f>
        <v>133.69999999999999</v>
      </c>
      <c r="I464" s="71">
        <f>IFERROR(I39/'Macroeconomy (GWh)'!$C$15,0)</f>
        <v>142.30000000000001</v>
      </c>
      <c r="J464" s="71">
        <f>IFERROR(J39/'Macroeconomy (GWh)'!$C$15,0)</f>
        <v>148</v>
      </c>
      <c r="K464" s="71">
        <f>IFERROR(K39/'Macroeconomy (GWh)'!$C$15,0)</f>
        <v>142.6</v>
      </c>
      <c r="L464" s="71">
        <f>IFERROR(L39/'Macroeconomy (GWh)'!$C$15,0)</f>
        <v>138.6</v>
      </c>
      <c r="M464" s="71">
        <f>IFERROR(M39/'Macroeconomy (GWh)'!$C$15,0)</f>
        <v>138</v>
      </c>
      <c r="N464" s="71">
        <f>IFERROR(N39/'Macroeconomy (GWh)'!$C$15,0)</f>
        <v>144.80000000000001</v>
      </c>
      <c r="O464" s="79"/>
      <c r="P464" s="79"/>
    </row>
    <row r="465" spans="1:16" x14ac:dyDescent="0.3">
      <c r="A465" s="64" t="s">
        <v>456</v>
      </c>
      <c r="B465" s="52" t="s">
        <v>66</v>
      </c>
      <c r="C465" s="71">
        <f>IFERROR(C40/'Macroeconomy (GWh)'!$C$15,0)</f>
        <v>60.2</v>
      </c>
      <c r="D465" s="71">
        <f>IFERROR(D40/'Macroeconomy (GWh)'!$C$15,0)</f>
        <v>54.8</v>
      </c>
      <c r="E465" s="71">
        <f>IFERROR(E40/'Macroeconomy (GWh)'!$C$15,0)</f>
        <v>56</v>
      </c>
      <c r="F465" s="71">
        <f>IFERROR(F40/'Macroeconomy (GWh)'!$C$15,0)</f>
        <v>58.2</v>
      </c>
      <c r="G465" s="71">
        <f>IFERROR(G40/'Macroeconomy (GWh)'!$C$15,0)</f>
        <v>60.1</v>
      </c>
      <c r="H465" s="71">
        <f>IFERROR(H40/'Macroeconomy (GWh)'!$C$15,0)</f>
        <v>56.5</v>
      </c>
      <c r="I465" s="71">
        <f>IFERROR(I40/'Macroeconomy (GWh)'!$C$15,0)</f>
        <v>58.2</v>
      </c>
      <c r="J465" s="71">
        <f>IFERROR(J40/'Macroeconomy (GWh)'!$C$15,0)</f>
        <v>60.7</v>
      </c>
      <c r="K465" s="71">
        <f>IFERROR(K40/'Macroeconomy (GWh)'!$C$15,0)</f>
        <v>55.5</v>
      </c>
      <c r="L465" s="71">
        <f>IFERROR(L40/'Macroeconomy (GWh)'!$C$15,0)</f>
        <v>50.8</v>
      </c>
      <c r="M465" s="71">
        <f>IFERROR(M40/'Macroeconomy (GWh)'!$C$15,0)</f>
        <v>57.2</v>
      </c>
      <c r="N465" s="71">
        <f>IFERROR(N40/'Macroeconomy (GWh)'!$C$15,0)</f>
        <v>56.4</v>
      </c>
      <c r="O465" s="79"/>
      <c r="P465" s="79"/>
    </row>
    <row r="466" spans="1:16" x14ac:dyDescent="0.3">
      <c r="A466" s="49" t="s">
        <v>457</v>
      </c>
      <c r="B466" s="52" t="s">
        <v>66</v>
      </c>
      <c r="C466" s="71">
        <f>IFERROR(C41/'Macroeconomy (GWh)'!$C$15,0)</f>
        <v>62.1</v>
      </c>
      <c r="D466" s="71">
        <f>IFERROR(D41/'Macroeconomy (GWh)'!$C$15,0)</f>
        <v>67.099999999999994</v>
      </c>
      <c r="E466" s="71">
        <f>IFERROR(E41/'Macroeconomy (GWh)'!$C$15,0)</f>
        <v>72.099999999999994</v>
      </c>
      <c r="F466" s="71">
        <f>IFERROR(F41/'Macroeconomy (GWh)'!$C$15,0)</f>
        <v>76.400000000000006</v>
      </c>
      <c r="G466" s="71">
        <f>IFERROR(G41/'Macroeconomy (GWh)'!$C$15,0)</f>
        <v>84.3</v>
      </c>
      <c r="H466" s="71">
        <f>IFERROR(H41/'Macroeconomy (GWh)'!$C$15,0)</f>
        <v>90.7</v>
      </c>
      <c r="I466" s="71">
        <f>IFERROR(I41/'Macroeconomy (GWh)'!$C$15,0)</f>
        <v>78.8</v>
      </c>
      <c r="J466" s="71">
        <f>IFERROR(J41/'Macroeconomy (GWh)'!$C$15,0)</f>
        <v>34.799999999999997</v>
      </c>
      <c r="K466" s="71">
        <f>IFERROR(K41/'Macroeconomy (GWh)'!$C$15,0)</f>
        <v>33.1</v>
      </c>
      <c r="L466" s="71">
        <f>IFERROR(L41/'Macroeconomy (GWh)'!$C$15,0)</f>
        <v>43.6</v>
      </c>
      <c r="M466" s="71">
        <f>IFERROR(M41/'Macroeconomy (GWh)'!$C$15,0)</f>
        <v>44.5</v>
      </c>
      <c r="N466" s="71">
        <f>IFERROR(N41/'Macroeconomy (GWh)'!$C$15,0)</f>
        <v>34.799999999999997</v>
      </c>
      <c r="O466" s="79"/>
      <c r="P466" s="79"/>
    </row>
    <row r="467" spans="1:16" x14ac:dyDescent="0.3">
      <c r="A467" s="49" t="s">
        <v>458</v>
      </c>
      <c r="B467" s="52" t="s">
        <v>66</v>
      </c>
      <c r="C467" s="71">
        <f>IFERROR(C42/'Macroeconomy (GWh)'!$C$15,0)</f>
        <v>140.80000000000001</v>
      </c>
      <c r="D467" s="71">
        <f>IFERROR(D42/'Macroeconomy (GWh)'!$C$15,0)</f>
        <v>142.80000000000001</v>
      </c>
      <c r="E467" s="71">
        <f>IFERROR(E42/'Macroeconomy (GWh)'!$C$15,0)</f>
        <v>108.19999999999999</v>
      </c>
      <c r="F467" s="71">
        <f>IFERROR(F42/'Macroeconomy (GWh)'!$C$15,0)</f>
        <v>118.2</v>
      </c>
      <c r="G467" s="71">
        <f>IFERROR(G42/'Macroeconomy (GWh)'!$C$15,0)</f>
        <v>115.6</v>
      </c>
      <c r="H467" s="71">
        <f>IFERROR(H42/'Macroeconomy (GWh)'!$C$15,0)</f>
        <v>117.1</v>
      </c>
      <c r="I467" s="71">
        <f>IFERROR(I42/'Macroeconomy (GWh)'!$C$15,0)</f>
        <v>124.3</v>
      </c>
      <c r="J467" s="71">
        <f>IFERROR(J42/'Macroeconomy (GWh)'!$C$15,0)</f>
        <v>121.80000000000001</v>
      </c>
      <c r="K467" s="71">
        <f>IFERROR(K42/'Macroeconomy (GWh)'!$C$15,0)</f>
        <v>136</v>
      </c>
      <c r="L467" s="71">
        <f>IFERROR(L42/'Macroeconomy (GWh)'!$C$15,0)</f>
        <v>113.3</v>
      </c>
      <c r="M467" s="71">
        <f>IFERROR(M42/'Macroeconomy (GWh)'!$C$15,0)</f>
        <v>115.39999999999999</v>
      </c>
      <c r="N467" s="71">
        <f>IFERROR(N42/'Macroeconomy (GWh)'!$C$15,0)</f>
        <v>127.7</v>
      </c>
      <c r="O467" s="79"/>
      <c r="P467" s="79"/>
    </row>
    <row r="468" spans="1:16" x14ac:dyDescent="0.3">
      <c r="A468" s="49" t="s">
        <v>459</v>
      </c>
      <c r="B468" s="52" t="s">
        <v>66</v>
      </c>
      <c r="C468" s="71">
        <f>IFERROR(C43/'Macroeconomy (GWh)'!$C$15,0)</f>
        <v>110.4</v>
      </c>
      <c r="D468" s="71">
        <f>IFERROR(D43/'Macroeconomy (GWh)'!$C$15,0)</f>
        <v>124.4</v>
      </c>
      <c r="E468" s="71">
        <f>IFERROR(E43/'Macroeconomy (GWh)'!$C$15,0)</f>
        <v>127.5</v>
      </c>
      <c r="F468" s="71">
        <f>IFERROR(F43/'Macroeconomy (GWh)'!$C$15,0)</f>
        <v>127.9</v>
      </c>
      <c r="G468" s="71">
        <f>IFERROR(G43/'Macroeconomy (GWh)'!$C$15,0)</f>
        <v>135.5</v>
      </c>
      <c r="H468" s="71">
        <f>IFERROR(H43/'Macroeconomy (GWh)'!$C$15,0)</f>
        <v>141</v>
      </c>
      <c r="I468" s="71">
        <f>IFERROR(I43/'Macroeconomy (GWh)'!$C$15,0)</f>
        <v>160.19999999999999</v>
      </c>
      <c r="J468" s="71">
        <f>IFERROR(J43/'Macroeconomy (GWh)'!$C$15,0)</f>
        <v>185.4</v>
      </c>
      <c r="K468" s="71">
        <f>IFERROR(K43/'Macroeconomy (GWh)'!$C$15,0)</f>
        <v>179.6</v>
      </c>
      <c r="L468" s="71">
        <f>IFERROR(L43/'Macroeconomy (GWh)'!$C$15,0)</f>
        <v>170.3</v>
      </c>
      <c r="M468" s="71">
        <f>IFERROR(M43/'Macroeconomy (GWh)'!$C$15,0)</f>
        <v>156</v>
      </c>
      <c r="N468" s="71">
        <f>IFERROR(N43/'Macroeconomy (GWh)'!$C$15,0)</f>
        <v>173</v>
      </c>
      <c r="O468" s="79"/>
      <c r="P468" s="79"/>
    </row>
    <row r="469" spans="1:16" x14ac:dyDescent="0.3">
      <c r="A469" s="49" t="s">
        <v>460</v>
      </c>
      <c r="B469" s="52" t="s">
        <v>66</v>
      </c>
      <c r="C469" s="71">
        <f>IFERROR(C44/'Macroeconomy (GWh)'!$C$15,0)</f>
        <v>11.2</v>
      </c>
      <c r="D469" s="71">
        <f>IFERROR(D44/'Macroeconomy (GWh)'!$C$15,0)</f>
        <v>10.199999999999999</v>
      </c>
      <c r="E469" s="71">
        <f>IFERROR(E44/'Macroeconomy (GWh)'!$C$15,0)</f>
        <v>8.1999999999999993</v>
      </c>
      <c r="F469" s="71">
        <f>IFERROR(F44/'Macroeconomy (GWh)'!$C$15,0)</f>
        <v>10.3</v>
      </c>
      <c r="G469" s="71">
        <f>IFERROR(G44/'Macroeconomy (GWh)'!$C$15,0)</f>
        <v>13.3</v>
      </c>
      <c r="H469" s="71">
        <f>IFERROR(H44/'Macroeconomy (GWh)'!$C$15,0)</f>
        <v>12</v>
      </c>
      <c r="I469" s="71">
        <f>IFERROR(I44/'Macroeconomy (GWh)'!$C$15,0)</f>
        <v>14.5</v>
      </c>
      <c r="J469" s="71">
        <f>IFERROR(J44/'Macroeconomy (GWh)'!$C$15,0)</f>
        <v>24</v>
      </c>
      <c r="K469" s="71">
        <f>IFERROR(K44/'Macroeconomy (GWh)'!$C$15,0)</f>
        <v>25.4</v>
      </c>
      <c r="L469" s="71">
        <f>IFERROR(L44/'Macroeconomy (GWh)'!$C$15,0)</f>
        <v>31</v>
      </c>
      <c r="M469" s="71">
        <f>IFERROR(M44/'Macroeconomy (GWh)'!$C$15,0)</f>
        <v>36.700000000000003</v>
      </c>
      <c r="N469" s="71">
        <f>IFERROR(N44/'Macroeconomy (GWh)'!$C$15,0)</f>
        <v>43.5</v>
      </c>
      <c r="O469" s="79"/>
      <c r="P469" s="79"/>
    </row>
    <row r="470" spans="1:16" x14ac:dyDescent="0.3">
      <c r="A470" s="49" t="s">
        <v>461</v>
      </c>
      <c r="B470" s="52" t="s">
        <v>66</v>
      </c>
      <c r="C470" s="71">
        <f>IFERROR(C45/'Macroeconomy (GWh)'!$C$15,0)</f>
        <v>540.69999999999993</v>
      </c>
      <c r="D470" s="71">
        <f>IFERROR(D45/'Macroeconomy (GWh)'!$C$15,0)</f>
        <v>699.30000000000007</v>
      </c>
      <c r="E470" s="71">
        <f>IFERROR(E45/'Macroeconomy (GWh)'!$C$15,0)</f>
        <v>719.4</v>
      </c>
      <c r="F470" s="71">
        <f>IFERROR(F45/'Macroeconomy (GWh)'!$C$15,0)</f>
        <v>747.1</v>
      </c>
      <c r="G470" s="71">
        <f>IFERROR(G45/'Macroeconomy (GWh)'!$C$15,0)</f>
        <v>773.99999999999989</v>
      </c>
      <c r="H470" s="71">
        <f>IFERROR(H45/'Macroeconomy (GWh)'!$C$15,0)</f>
        <v>778</v>
      </c>
      <c r="I470" s="71">
        <f>IFERROR(I45/'Macroeconomy (GWh)'!$C$15,0)</f>
        <v>823.1</v>
      </c>
      <c r="J470" s="71">
        <f>IFERROR(J45/'Macroeconomy (GWh)'!$C$15,0)</f>
        <v>865</v>
      </c>
      <c r="K470" s="71">
        <f>IFERROR(K45/'Macroeconomy (GWh)'!$C$15,0)</f>
        <v>917.3</v>
      </c>
      <c r="L470" s="71">
        <f>IFERROR(L45/'Macroeconomy (GWh)'!$C$15,0)</f>
        <v>939.19999999999993</v>
      </c>
      <c r="M470" s="71">
        <f>IFERROR(M45/'Macroeconomy (GWh)'!$C$15,0)</f>
        <v>894.5</v>
      </c>
      <c r="N470" s="71">
        <f>IFERROR(N45/'Macroeconomy (GWh)'!$C$15,0)</f>
        <v>982.59999999999991</v>
      </c>
      <c r="O470" s="79"/>
      <c r="P470" s="79"/>
    </row>
    <row r="471" spans="1:16" x14ac:dyDescent="0.3">
      <c r="A471" s="64" t="s">
        <v>462</v>
      </c>
      <c r="B471" s="52" t="s">
        <v>66</v>
      </c>
      <c r="C471" s="71">
        <f>IFERROR(C46/'Macroeconomy (GWh)'!$C$15,0)</f>
        <v>262</v>
      </c>
      <c r="D471" s="71">
        <f>IFERROR(D46/'Macroeconomy (GWh)'!$C$15,0)</f>
        <v>292.10000000000002</v>
      </c>
      <c r="E471" s="71">
        <f>IFERROR(E46/'Macroeconomy (GWh)'!$C$15,0)</f>
        <v>307.89999999999998</v>
      </c>
      <c r="F471" s="71">
        <f>IFERROR(F46/'Macroeconomy (GWh)'!$C$15,0)</f>
        <v>321</v>
      </c>
      <c r="G471" s="71">
        <f>IFERROR(G46/'Macroeconomy (GWh)'!$C$15,0)</f>
        <v>330.2</v>
      </c>
      <c r="H471" s="71">
        <f>IFERROR(H46/'Macroeconomy (GWh)'!$C$15,0)</f>
        <v>334.5</v>
      </c>
      <c r="I471" s="71">
        <f>IFERROR(I46/'Macroeconomy (GWh)'!$C$15,0)</f>
        <v>350.5</v>
      </c>
      <c r="J471" s="71">
        <f>IFERROR(J46/'Macroeconomy (GWh)'!$C$15,0)</f>
        <v>397.2</v>
      </c>
      <c r="K471" s="71">
        <f>IFERROR(K46/'Macroeconomy (GWh)'!$C$15,0)</f>
        <v>426.5</v>
      </c>
      <c r="L471" s="71">
        <f>IFERROR(L46/'Macroeconomy (GWh)'!$C$15,0)</f>
        <v>468.5</v>
      </c>
      <c r="M471" s="71">
        <f>IFERROR(M46/'Macroeconomy (GWh)'!$C$15,0)</f>
        <v>422.6</v>
      </c>
      <c r="N471" s="71">
        <f>IFERROR(N46/'Macroeconomy (GWh)'!$C$15,0)</f>
        <v>484.4</v>
      </c>
      <c r="O471" s="79"/>
      <c r="P471" s="79"/>
    </row>
    <row r="472" spans="1:16" x14ac:dyDescent="0.3">
      <c r="A472" s="49" t="s">
        <v>463</v>
      </c>
      <c r="B472" s="52" t="s">
        <v>66</v>
      </c>
      <c r="C472" s="71">
        <f>IFERROR(C47/'Macroeconomy (GWh)'!$C$15,0)</f>
        <v>89.699999999999989</v>
      </c>
      <c r="D472" s="71">
        <f>IFERROR(D47/'Macroeconomy (GWh)'!$C$15,0)</f>
        <v>102.5</v>
      </c>
      <c r="E472" s="71">
        <f>IFERROR(E47/'Macroeconomy (GWh)'!$C$15,0)</f>
        <v>108.5</v>
      </c>
      <c r="F472" s="71">
        <f>IFERROR(F47/'Macroeconomy (GWh)'!$C$15,0)</f>
        <v>112.19999999999999</v>
      </c>
      <c r="G472" s="71">
        <f>IFERROR(G47/'Macroeconomy (GWh)'!$C$15,0)</f>
        <v>110.4</v>
      </c>
      <c r="H472" s="71">
        <f>IFERROR(H47/'Macroeconomy (GWh)'!$C$15,0)</f>
        <v>122.2</v>
      </c>
      <c r="I472" s="71">
        <f>IFERROR(I47/'Macroeconomy (GWh)'!$C$15,0)</f>
        <v>124.80000000000001</v>
      </c>
      <c r="J472" s="71">
        <f>IFERROR(J47/'Macroeconomy (GWh)'!$C$15,0)</f>
        <v>124</v>
      </c>
      <c r="K472" s="71">
        <f>IFERROR(K47/'Macroeconomy (GWh)'!$C$15,0)</f>
        <v>137.69999999999999</v>
      </c>
      <c r="L472" s="71">
        <f>IFERROR(L47/'Macroeconomy (GWh)'!$C$15,0)</f>
        <v>124.2</v>
      </c>
      <c r="M472" s="71">
        <f>IFERROR(M47/'Macroeconomy (GWh)'!$C$15,0)</f>
        <v>123.80000000000001</v>
      </c>
      <c r="N472" s="71">
        <f>IFERROR(N47/'Macroeconomy (GWh)'!$C$15,0)</f>
        <v>120.9</v>
      </c>
      <c r="O472" s="79"/>
      <c r="P472" s="79"/>
    </row>
    <row r="473" spans="1:16" x14ac:dyDescent="0.3">
      <c r="A473" s="49" t="s">
        <v>464</v>
      </c>
      <c r="B473" s="52" t="s">
        <v>66</v>
      </c>
      <c r="C473" s="71">
        <f>IFERROR(C48/'Macroeconomy (GWh)'!$C$15,0)</f>
        <v>351.90000000000003</v>
      </c>
      <c r="D473" s="71">
        <f>IFERROR(D48/'Macroeconomy (GWh)'!$C$15,0)</f>
        <v>401.5</v>
      </c>
      <c r="E473" s="71">
        <f>IFERROR(E48/'Macroeconomy (GWh)'!$C$15,0)</f>
        <v>422.4</v>
      </c>
      <c r="F473" s="71">
        <f>IFERROR(F48/'Macroeconomy (GWh)'!$C$15,0)</f>
        <v>430.8</v>
      </c>
      <c r="G473" s="71">
        <f>IFERROR(G48/'Macroeconomy (GWh)'!$C$15,0)</f>
        <v>444</v>
      </c>
      <c r="H473" s="71">
        <f>IFERROR(H48/'Macroeconomy (GWh)'!$C$15,0)</f>
        <v>440.1</v>
      </c>
      <c r="I473" s="71">
        <f>IFERROR(I48/'Macroeconomy (GWh)'!$C$15,0)</f>
        <v>463.1</v>
      </c>
      <c r="J473" s="71">
        <f>IFERROR(J48/'Macroeconomy (GWh)'!$C$15,0)</f>
        <v>488.1</v>
      </c>
      <c r="K473" s="71">
        <f>IFERROR(K48/'Macroeconomy (GWh)'!$C$15,0)</f>
        <v>553.6</v>
      </c>
      <c r="L473" s="71">
        <f>IFERROR(L48/'Macroeconomy (GWh)'!$C$15,0)</f>
        <v>606.70000000000005</v>
      </c>
      <c r="M473" s="71">
        <f>IFERROR(M48/'Macroeconomy (GWh)'!$C$15,0)</f>
        <v>514.69999999999993</v>
      </c>
      <c r="N473" s="71">
        <f>IFERROR(N48/'Macroeconomy (GWh)'!$C$15,0)</f>
        <v>566.70000000000005</v>
      </c>
      <c r="O473" s="79"/>
      <c r="P473" s="79"/>
    </row>
    <row r="474" spans="1:16" x14ac:dyDescent="0.3">
      <c r="A474" s="64" t="s">
        <v>465</v>
      </c>
      <c r="B474" s="52" t="s">
        <v>66</v>
      </c>
      <c r="C474" s="71">
        <f>IFERROR(C49/'Macroeconomy (GWh)'!$C$15,0)</f>
        <v>94.8</v>
      </c>
      <c r="D474" s="71">
        <f>IFERROR(D49/'Macroeconomy (GWh)'!$C$15,0)</f>
        <v>110.4</v>
      </c>
      <c r="E474" s="71">
        <f>IFERROR(E49/'Macroeconomy (GWh)'!$C$15,0)</f>
        <v>111.2</v>
      </c>
      <c r="F474" s="71">
        <f>IFERROR(F49/'Macroeconomy (GWh)'!$C$15,0)</f>
        <v>106.5</v>
      </c>
      <c r="G474" s="71">
        <f>IFERROR(G49/'Macroeconomy (GWh)'!$C$15,0)</f>
        <v>113.7</v>
      </c>
      <c r="H474" s="71">
        <f>IFERROR(H49/'Macroeconomy (GWh)'!$C$15,0)</f>
        <v>98.9</v>
      </c>
      <c r="I474" s="71">
        <f>IFERROR(I49/'Macroeconomy (GWh)'!$C$15,0)</f>
        <v>104.6</v>
      </c>
      <c r="J474" s="71">
        <f>IFERROR(J49/'Macroeconomy (GWh)'!$C$15,0)</f>
        <v>113.4</v>
      </c>
      <c r="K474" s="71">
        <f>IFERROR(K49/'Macroeconomy (GWh)'!$C$15,0)</f>
        <v>128.1</v>
      </c>
      <c r="L474" s="71">
        <f>IFERROR(L49/'Macroeconomy (GWh)'!$C$15,0)</f>
        <v>132.80000000000001</v>
      </c>
      <c r="M474" s="71">
        <f>IFERROR(M49/'Macroeconomy (GWh)'!$C$15,0)</f>
        <v>119.3</v>
      </c>
      <c r="N474" s="71">
        <f>IFERROR(N49/'Macroeconomy (GWh)'!$C$15,0)</f>
        <v>124.5</v>
      </c>
      <c r="O474" s="79"/>
      <c r="P474" s="79"/>
    </row>
    <row r="475" spans="1:16" x14ac:dyDescent="0.3">
      <c r="A475" s="50" t="s">
        <v>466</v>
      </c>
      <c r="B475" s="57" t="s">
        <v>66</v>
      </c>
      <c r="C475" s="75">
        <f>SUM(C461:C473)-C465-C471</f>
        <v>2253.8000000000002</v>
      </c>
      <c r="D475" s="75">
        <f t="shared" ref="D475:N475" si="60">SUM(D461:D473)-D465-D471</f>
        <v>2552.9</v>
      </c>
      <c r="E475" s="75">
        <f t="shared" si="60"/>
        <v>2586.9</v>
      </c>
      <c r="F475" s="75">
        <f t="shared" si="60"/>
        <v>2664.1000000000004</v>
      </c>
      <c r="G475" s="75">
        <f t="shared" si="60"/>
        <v>2807.5</v>
      </c>
      <c r="H475" s="75">
        <f t="shared" si="60"/>
        <v>2868.9999999999995</v>
      </c>
      <c r="I475" s="75">
        <f t="shared" si="60"/>
        <v>2991.3</v>
      </c>
      <c r="J475" s="75">
        <f t="shared" si="60"/>
        <v>3109.6</v>
      </c>
      <c r="K475" s="75">
        <f t="shared" si="60"/>
        <v>3262.6999999999994</v>
      </c>
      <c r="L475" s="75">
        <f t="shared" si="60"/>
        <v>3309.4999999999991</v>
      </c>
      <c r="M475" s="75">
        <f t="shared" si="60"/>
        <v>3070.3</v>
      </c>
      <c r="N475" s="75">
        <f t="shared" si="60"/>
        <v>3318.8999999999996</v>
      </c>
      <c r="O475" s="79"/>
      <c r="P475" s="79"/>
    </row>
    <row r="476" spans="1:16" x14ac:dyDescent="0.3">
      <c r="A476" s="50" t="s">
        <v>467</v>
      </c>
      <c r="B476" s="57" t="s">
        <v>66</v>
      </c>
      <c r="C476" s="75">
        <f>IFERROR(C50/'Macroeconomy (GWh)'!$C$15,0)</f>
        <v>2251.9</v>
      </c>
      <c r="D476" s="75">
        <f>IFERROR(D50/'Macroeconomy (GWh)'!$C$15,0)</f>
        <v>2552.9</v>
      </c>
      <c r="E476" s="75">
        <f>IFERROR(E50/'Macroeconomy (GWh)'!$C$15,0)</f>
        <v>2586.9</v>
      </c>
      <c r="F476" s="75">
        <f>IFERROR(F50/'Macroeconomy (GWh)'!$C$15,0)</f>
        <v>2664.1000000000004</v>
      </c>
      <c r="G476" s="75">
        <f>IFERROR(G50/'Macroeconomy (GWh)'!$C$15,0)</f>
        <v>2807.5</v>
      </c>
      <c r="H476" s="75">
        <f>IFERROR(H50/'Macroeconomy (GWh)'!$C$15,0)</f>
        <v>2868.9999999999995</v>
      </c>
      <c r="I476" s="75">
        <f>IFERROR(I50/'Macroeconomy (GWh)'!$C$15,0)</f>
        <v>2991.3</v>
      </c>
      <c r="J476" s="75">
        <f>IFERROR(J50/'Macroeconomy (GWh)'!$C$15,0)</f>
        <v>3109.6</v>
      </c>
      <c r="K476" s="75">
        <f>IFERROR(K50/'Macroeconomy (GWh)'!$C$15,0)</f>
        <v>3262.6999999999994</v>
      </c>
      <c r="L476" s="75">
        <f>IFERROR(L50/'Macroeconomy (GWh)'!$C$15,0)</f>
        <v>3309.4999999999991</v>
      </c>
      <c r="M476" s="75">
        <f>IFERROR(M50/'Macroeconomy (GWh)'!$C$15,0)</f>
        <v>3070.3</v>
      </c>
      <c r="N476" s="75">
        <f>IFERROR(N50/'Macroeconomy (GWh)'!$C$15,0)</f>
        <v>3318.8999999999996</v>
      </c>
      <c r="O476" s="79"/>
      <c r="P476" s="79"/>
    </row>
    <row r="477" spans="1:16" x14ac:dyDescent="0.3">
      <c r="A477" s="24" t="s">
        <v>468</v>
      </c>
      <c r="B477" s="25" t="s">
        <v>103</v>
      </c>
      <c r="C477" s="87">
        <f>IFERROR(C475/C476,"")</f>
        <v>1.0008437319596786</v>
      </c>
      <c r="D477" s="87">
        <f t="shared" ref="D477:N477" si="61">IFERROR(D475/D476,"")</f>
        <v>1</v>
      </c>
      <c r="E477" s="87">
        <f t="shared" si="61"/>
        <v>1</v>
      </c>
      <c r="F477" s="87">
        <f t="shared" si="61"/>
        <v>1</v>
      </c>
      <c r="G477" s="87">
        <f t="shared" si="61"/>
        <v>1</v>
      </c>
      <c r="H477" s="87">
        <f t="shared" si="61"/>
        <v>1</v>
      </c>
      <c r="I477" s="87">
        <f t="shared" si="61"/>
        <v>1</v>
      </c>
      <c r="J477" s="87">
        <f t="shared" si="61"/>
        <v>1</v>
      </c>
      <c r="K477" s="87">
        <f t="shared" si="61"/>
        <v>1</v>
      </c>
      <c r="L477" s="87">
        <f t="shared" si="61"/>
        <v>1</v>
      </c>
      <c r="M477" s="87">
        <f t="shared" si="61"/>
        <v>1</v>
      </c>
      <c r="N477" s="87">
        <f t="shared" si="61"/>
        <v>1</v>
      </c>
      <c r="O477" s="90"/>
      <c r="P477" s="90"/>
    </row>
    <row r="478" spans="1:16" x14ac:dyDescent="0.3">
      <c r="A478" s="24"/>
      <c r="B478" s="25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90"/>
      <c r="P478" s="90"/>
    </row>
    <row r="479" spans="1:16" x14ac:dyDescent="0.3">
      <c r="A479" s="49" t="s">
        <v>469</v>
      </c>
      <c r="B479" s="52" t="s">
        <v>66</v>
      </c>
      <c r="C479" s="89">
        <f t="shared" ref="C479:N481" si="62">C55</f>
        <v>229.71260000000001</v>
      </c>
      <c r="D479" s="89">
        <f t="shared" si="62"/>
        <v>255.3715</v>
      </c>
      <c r="E479" s="89">
        <f t="shared" si="62"/>
        <v>256.27960000000002</v>
      </c>
      <c r="F479" s="89">
        <f t="shared" si="62"/>
        <v>256.01679999999999</v>
      </c>
      <c r="G479" s="89">
        <f t="shared" si="62"/>
        <v>265.12880000000001</v>
      </c>
      <c r="H479" s="89">
        <f t="shared" si="62"/>
        <v>247.92490000000001</v>
      </c>
      <c r="I479" s="89">
        <f t="shared" si="62"/>
        <v>238.03380000000001</v>
      </c>
      <c r="J479" s="89">
        <f t="shared" si="62"/>
        <v>303.55630000000002</v>
      </c>
      <c r="K479" s="89">
        <f t="shared" si="62"/>
        <v>334.23059999999998</v>
      </c>
      <c r="L479" s="89">
        <f t="shared" si="62"/>
        <v>298.47620000000001</v>
      </c>
      <c r="M479" s="89">
        <f t="shared" si="62"/>
        <v>256.84350000000001</v>
      </c>
      <c r="N479" s="89">
        <f t="shared" si="62"/>
        <v>281.3</v>
      </c>
      <c r="O479" s="90"/>
      <c r="P479" s="90"/>
    </row>
    <row r="480" spans="1:16" x14ac:dyDescent="0.3">
      <c r="A480" s="49" t="s">
        <v>470</v>
      </c>
      <c r="B480" s="52" t="s">
        <v>66</v>
      </c>
      <c r="C480" s="89">
        <f t="shared" si="62"/>
        <v>655.37750000000005</v>
      </c>
      <c r="D480" s="89">
        <f t="shared" si="62"/>
        <v>658.17949999999996</v>
      </c>
      <c r="E480" s="89">
        <f t="shared" si="62"/>
        <v>654.74199999999996</v>
      </c>
      <c r="F480" s="89">
        <f t="shared" si="62"/>
        <v>707.93029999999999</v>
      </c>
      <c r="G480" s="89">
        <f t="shared" si="62"/>
        <v>748.64009999999996</v>
      </c>
      <c r="H480" s="89">
        <f t="shared" si="62"/>
        <v>707.92650000000003</v>
      </c>
      <c r="I480" s="89">
        <f t="shared" si="62"/>
        <v>768.06280000000004</v>
      </c>
      <c r="J480" s="89">
        <f t="shared" si="62"/>
        <v>802.63200000000006</v>
      </c>
      <c r="K480" s="89">
        <f t="shared" si="62"/>
        <v>800.52800000000002</v>
      </c>
      <c r="L480" s="89">
        <f t="shared" si="62"/>
        <v>667.29719999999998</v>
      </c>
      <c r="M480" s="89">
        <f t="shared" si="62"/>
        <v>696</v>
      </c>
      <c r="N480" s="89">
        <f t="shared" si="62"/>
        <v>751.9</v>
      </c>
      <c r="O480" s="90"/>
      <c r="P480" s="90"/>
    </row>
    <row r="481" spans="1:16" x14ac:dyDescent="0.3">
      <c r="A481" s="49" t="s">
        <v>471</v>
      </c>
      <c r="B481" s="52" t="s">
        <v>66</v>
      </c>
      <c r="C481" s="89">
        <f t="shared" si="62"/>
        <v>867.71349999999995</v>
      </c>
      <c r="D481" s="89">
        <f t="shared" si="62"/>
        <v>1119.5725</v>
      </c>
      <c r="E481" s="89">
        <f t="shared" si="62"/>
        <v>1214.8755000000001</v>
      </c>
      <c r="F481" s="89">
        <f t="shared" si="62"/>
        <v>1165.1252999999999</v>
      </c>
      <c r="G481" s="89">
        <f t="shared" si="62"/>
        <v>1094.4536000000001</v>
      </c>
      <c r="H481" s="89">
        <f t="shared" si="62"/>
        <v>1098.4851000000001</v>
      </c>
      <c r="I481" s="89">
        <f t="shared" si="62"/>
        <v>1229.943</v>
      </c>
      <c r="J481" s="89">
        <f t="shared" si="62"/>
        <v>1348.3996</v>
      </c>
      <c r="K481" s="89">
        <f t="shared" si="62"/>
        <v>1489.8443</v>
      </c>
      <c r="L481" s="89">
        <f t="shared" si="62"/>
        <v>1461.4775999999999</v>
      </c>
      <c r="M481" s="89">
        <f t="shared" si="62"/>
        <v>1513.2844</v>
      </c>
      <c r="N481" s="89">
        <f t="shared" si="62"/>
        <v>1616.3</v>
      </c>
      <c r="O481" s="90"/>
      <c r="P481" s="90"/>
    </row>
    <row r="482" spans="1:16" x14ac:dyDescent="0.3">
      <c r="A482" s="50" t="s">
        <v>472</v>
      </c>
      <c r="B482" s="57" t="s">
        <v>66</v>
      </c>
      <c r="C482" s="74">
        <f>C475+C479+C480+C481</f>
        <v>4006.6035999999999</v>
      </c>
      <c r="D482" s="74">
        <f t="shared" ref="D482:N482" si="63">D475+D479+D480+D481</f>
        <v>4586.0235000000002</v>
      </c>
      <c r="E482" s="74">
        <f t="shared" si="63"/>
        <v>4712.7970999999998</v>
      </c>
      <c r="F482" s="74">
        <f t="shared" si="63"/>
        <v>4793.1724000000004</v>
      </c>
      <c r="G482" s="74">
        <f t="shared" si="63"/>
        <v>4915.7224999999999</v>
      </c>
      <c r="H482" s="74">
        <f t="shared" si="63"/>
        <v>4923.3364999999994</v>
      </c>
      <c r="I482" s="74">
        <f t="shared" si="63"/>
        <v>5227.3396000000002</v>
      </c>
      <c r="J482" s="74">
        <f t="shared" si="63"/>
        <v>5564.1878999999999</v>
      </c>
      <c r="K482" s="74">
        <f t="shared" si="63"/>
        <v>5887.3028999999988</v>
      </c>
      <c r="L482" s="74">
        <f t="shared" si="63"/>
        <v>5736.7509999999993</v>
      </c>
      <c r="M482" s="74">
        <f t="shared" si="63"/>
        <v>5536.4279000000006</v>
      </c>
      <c r="N482" s="74">
        <f t="shared" si="63"/>
        <v>5968.4</v>
      </c>
      <c r="O482" s="90"/>
      <c r="P482" s="90"/>
    </row>
    <row r="483" spans="1:16" x14ac:dyDescent="0.3">
      <c r="A483" s="50" t="s">
        <v>473</v>
      </c>
      <c r="B483" s="57" t="s">
        <v>66</v>
      </c>
      <c r="C483" s="74">
        <f>'Macroeconomy (GWh)'!C192</f>
        <v>3964.5989999999997</v>
      </c>
      <c r="D483" s="74">
        <f>'Macroeconomy (GWh)'!D192</f>
        <v>4573.6727000000001</v>
      </c>
      <c r="E483" s="74">
        <f>'Macroeconomy (GWh)'!E192</f>
        <v>4698.7450000000008</v>
      </c>
      <c r="F483" s="74">
        <f>'Macroeconomy (GWh)'!F192</f>
        <v>4781.5433999999996</v>
      </c>
      <c r="G483" s="74">
        <f>'Macroeconomy (GWh)'!G192</f>
        <v>4910.4049999999997</v>
      </c>
      <c r="H483" s="74">
        <f>'Macroeconomy (GWh)'!H192</f>
        <v>4923.3197</v>
      </c>
      <c r="I483" s="74">
        <f>'Macroeconomy (GWh)'!I192</f>
        <v>5227.2</v>
      </c>
      <c r="J483" s="74">
        <f>'Macroeconomy (GWh)'!J192</f>
        <v>5566.1</v>
      </c>
      <c r="K483" s="74">
        <f>'Macroeconomy (GWh)'!K192</f>
        <v>5834.5</v>
      </c>
      <c r="L483" s="74">
        <f>'Macroeconomy (GWh)'!L192</f>
        <v>5669.5999999999995</v>
      </c>
      <c r="M483" s="74">
        <f>'Macroeconomy (GWh)'!M192</f>
        <v>5608.2000000000007</v>
      </c>
      <c r="N483" s="74">
        <f>'Macroeconomy (GWh)'!N192</f>
        <v>6026.4</v>
      </c>
      <c r="O483" s="90"/>
      <c r="P483" s="90"/>
    </row>
    <row r="484" spans="1:16" x14ac:dyDescent="0.3">
      <c r="A484" s="24" t="s">
        <v>474</v>
      </c>
      <c r="B484" s="25" t="s">
        <v>103</v>
      </c>
      <c r="C484" s="87">
        <f>IFERROR(C482/C483,"")</f>
        <v>1.0105949176701099</v>
      </c>
      <c r="D484" s="87">
        <f t="shared" ref="D484:N484" si="64">IFERROR(D482/D483,"")</f>
        <v>1.0027004118593794</v>
      </c>
      <c r="E484" s="87">
        <f t="shared" si="64"/>
        <v>1.0029906070663548</v>
      </c>
      <c r="F484" s="87">
        <f t="shared" si="64"/>
        <v>1.0024320599076861</v>
      </c>
      <c r="G484" s="87">
        <f t="shared" si="64"/>
        <v>1.0010829045669349</v>
      </c>
      <c r="H484" s="87">
        <f t="shared" si="64"/>
        <v>1.0000034123317239</v>
      </c>
      <c r="I484" s="87">
        <f t="shared" si="64"/>
        <v>1.0000267064585247</v>
      </c>
      <c r="J484" s="87">
        <f t="shared" si="64"/>
        <v>0.99965647401232449</v>
      </c>
      <c r="K484" s="87">
        <f t="shared" si="64"/>
        <v>1.0090501156911473</v>
      </c>
      <c r="L484" s="87">
        <f t="shared" si="64"/>
        <v>1.0118440454353042</v>
      </c>
      <c r="M484" s="87">
        <f t="shared" si="64"/>
        <v>0.98720229307086049</v>
      </c>
      <c r="N484" s="87">
        <f t="shared" si="64"/>
        <v>0.99037568033983803</v>
      </c>
      <c r="O484" s="90"/>
      <c r="P484" s="90"/>
    </row>
    <row r="485" spans="1:16" x14ac:dyDescent="0.3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spans="1:16" ht="18" x14ac:dyDescent="0.35">
      <c r="A486" s="274" t="s">
        <v>216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spans="1:16" ht="15.6" x14ac:dyDescent="0.3">
      <c r="A487" s="78" t="s">
        <v>475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spans="1:16" ht="15.6" x14ac:dyDescent="0.3">
      <c r="A488" s="7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spans="1:16" x14ac:dyDescent="0.3">
      <c r="A489" s="58" t="s">
        <v>476</v>
      </c>
      <c r="B489" s="63" t="s">
        <v>628</v>
      </c>
      <c r="C489" s="241">
        <f>IFERROR(C429/C461*1000,"")</f>
        <v>2.3005698005698005</v>
      </c>
      <c r="D489" s="241">
        <f t="shared" ref="D489:N489" si="65">IFERROR(D429/D461*1000,"")</f>
        <v>2.0316151853957423</v>
      </c>
      <c r="E489" s="241">
        <f t="shared" si="65"/>
        <v>2.047844883210737</v>
      </c>
      <c r="F489" s="241">
        <f t="shared" si="65"/>
        <v>2.0616018954429371</v>
      </c>
      <c r="G489" s="241">
        <f t="shared" si="65"/>
        <v>1.8999828443986957</v>
      </c>
      <c r="H489" s="241">
        <f t="shared" si="65"/>
        <v>1.9719153661815416</v>
      </c>
      <c r="I489" s="241">
        <f t="shared" si="65"/>
        <v>2.0288848369077592</v>
      </c>
      <c r="J489" s="241">
        <f t="shared" si="65"/>
        <v>1.6662511426909332</v>
      </c>
      <c r="K489" s="241">
        <f t="shared" si="65"/>
        <v>1.5988135868681945</v>
      </c>
      <c r="L489" s="241">
        <f t="shared" si="65"/>
        <v>1.8550043233895377</v>
      </c>
      <c r="M489" s="241">
        <f t="shared" si="65"/>
        <v>2.1089218696690546</v>
      </c>
      <c r="N489" s="241">
        <f t="shared" si="65"/>
        <v>1.6886446886446882</v>
      </c>
      <c r="O489" s="49"/>
      <c r="P489" s="49"/>
    </row>
    <row r="490" spans="1:16" x14ac:dyDescent="0.3">
      <c r="A490" s="58" t="s">
        <v>477</v>
      </c>
      <c r="B490" s="63" t="s">
        <v>629</v>
      </c>
      <c r="C490" s="241">
        <f t="shared" ref="C490:N494" si="66">IFERROR(C430/C462*1000,"")</f>
        <v>1.5005720779220779</v>
      </c>
      <c r="D490" s="241">
        <f t="shared" si="66"/>
        <v>1.164787031346036</v>
      </c>
      <c r="E490" s="241">
        <f t="shared" si="66"/>
        <v>1.0821790341578328</v>
      </c>
      <c r="F490" s="241">
        <f t="shared" si="66"/>
        <v>1.0015161210623842</v>
      </c>
      <c r="G490" s="241">
        <f t="shared" si="66"/>
        <v>1.0308219161676646</v>
      </c>
      <c r="H490" s="241">
        <f t="shared" si="66"/>
        <v>0.89217175925925929</v>
      </c>
      <c r="I490" s="241">
        <f t="shared" si="66"/>
        <v>0.73390641947980095</v>
      </c>
      <c r="J490" s="241">
        <f t="shared" si="66"/>
        <v>0.53804052631578947</v>
      </c>
      <c r="K490" s="241">
        <f t="shared" si="66"/>
        <v>0.58442578616352192</v>
      </c>
      <c r="L490" s="241">
        <f t="shared" si="66"/>
        <v>0.63742473421424151</v>
      </c>
      <c r="M490" s="241">
        <f t="shared" si="66"/>
        <v>0.70417055711173349</v>
      </c>
      <c r="N490" s="241">
        <f t="shared" si="66"/>
        <v>0.85787068255038568</v>
      </c>
      <c r="O490" s="49"/>
      <c r="P490" s="49"/>
    </row>
    <row r="491" spans="1:16" x14ac:dyDescent="0.3">
      <c r="A491" s="58" t="s">
        <v>478</v>
      </c>
      <c r="B491" s="63" t="s">
        <v>630</v>
      </c>
      <c r="C491" s="241">
        <f t="shared" si="66"/>
        <v>4.2061792400982787</v>
      </c>
      <c r="D491" s="241">
        <f t="shared" si="66"/>
        <v>3.883590186096288</v>
      </c>
      <c r="E491" s="241">
        <f t="shared" si="66"/>
        <v>3.1028173885696395</v>
      </c>
      <c r="F491" s="241">
        <f t="shared" si="66"/>
        <v>3.5176382771526438</v>
      </c>
      <c r="G491" s="241">
        <f t="shared" si="66"/>
        <v>3.2272128489638745</v>
      </c>
      <c r="H491" s="241">
        <f t="shared" si="66"/>
        <v>3.1661055694098095</v>
      </c>
      <c r="I491" s="241">
        <f t="shared" si="66"/>
        <v>1.3573609753879752</v>
      </c>
      <c r="J491" s="241">
        <f t="shared" si="66"/>
        <v>1.3557072430792567</v>
      </c>
      <c r="K491" s="241">
        <f t="shared" si="66"/>
        <v>1.4016600740338383</v>
      </c>
      <c r="L491" s="241">
        <f t="shared" si="66"/>
        <v>1.4955494796260367</v>
      </c>
      <c r="M491" s="241">
        <f t="shared" si="66"/>
        <v>1.8698975724896596</v>
      </c>
      <c r="N491" s="241">
        <f t="shared" si="66"/>
        <v>1.5491862644853442</v>
      </c>
      <c r="O491" s="49"/>
      <c r="P491" s="49"/>
    </row>
    <row r="492" spans="1:16" x14ac:dyDescent="0.3">
      <c r="A492" s="58" t="s">
        <v>479</v>
      </c>
      <c r="B492" s="63" t="s">
        <v>631</v>
      </c>
      <c r="C492" s="241">
        <f t="shared" si="66"/>
        <v>6.3216013609233883</v>
      </c>
      <c r="D492" s="241">
        <f t="shared" si="66"/>
        <v>6.1036991136685286</v>
      </c>
      <c r="E492" s="241">
        <f t="shared" si="66"/>
        <v>5.4420062349992344</v>
      </c>
      <c r="F492" s="241">
        <f t="shared" si="66"/>
        <v>5.2403789294483518</v>
      </c>
      <c r="G492" s="241">
        <f t="shared" si="66"/>
        <v>5.0660299820336654</v>
      </c>
      <c r="H492" s="241">
        <f t="shared" si="66"/>
        <v>5.189430027784999</v>
      </c>
      <c r="I492" s="241">
        <f t="shared" si="66"/>
        <v>5.040656658995549</v>
      </c>
      <c r="J492" s="241">
        <f t="shared" si="66"/>
        <v>5.6874228258393424</v>
      </c>
      <c r="K492" s="241">
        <f t="shared" si="66"/>
        <v>6.2798737727910243</v>
      </c>
      <c r="L492" s="241">
        <f t="shared" si="66"/>
        <v>5.2088343755010422</v>
      </c>
      <c r="M492" s="241">
        <f t="shared" si="66"/>
        <v>5.3099838969404187</v>
      </c>
      <c r="N492" s="241">
        <f t="shared" si="66"/>
        <v>4.6961325966850831</v>
      </c>
      <c r="O492" s="49"/>
      <c r="P492" s="49"/>
    </row>
    <row r="493" spans="1:16" x14ac:dyDescent="0.3">
      <c r="A493" s="58" t="s">
        <v>480</v>
      </c>
      <c r="B493" s="63" t="s">
        <v>632</v>
      </c>
      <c r="C493" s="241">
        <f t="shared" si="66"/>
        <v>9.6317587633277935</v>
      </c>
      <c r="D493" s="241">
        <f t="shared" si="66"/>
        <v>8.654368487545252</v>
      </c>
      <c r="E493" s="241">
        <f t="shared" si="66"/>
        <v>9.6655430414563952</v>
      </c>
      <c r="F493" s="241">
        <f t="shared" si="66"/>
        <v>14.901694946573278</v>
      </c>
      <c r="G493" s="241">
        <f t="shared" si="66"/>
        <v>5.9204866909989766</v>
      </c>
      <c r="H493" s="241">
        <f t="shared" si="66"/>
        <v>8.6689501081245162</v>
      </c>
      <c r="I493" s="241">
        <f t="shared" si="66"/>
        <v>7.5646881451623997</v>
      </c>
      <c r="J493" s="241">
        <f t="shared" si="66"/>
        <v>6.9607134232734644</v>
      </c>
      <c r="K493" s="241">
        <f t="shared" si="66"/>
        <v>7.0012642703898198</v>
      </c>
      <c r="L493" s="241">
        <f t="shared" si="66"/>
        <v>7.9386256531558601</v>
      </c>
      <c r="M493" s="241">
        <f t="shared" si="66"/>
        <v>6.5656565656565649</v>
      </c>
      <c r="N493" s="241">
        <f t="shared" si="66"/>
        <v>7.5157604412923558</v>
      </c>
      <c r="O493" s="49"/>
      <c r="P493" s="49"/>
    </row>
    <row r="494" spans="1:16" x14ac:dyDescent="0.3">
      <c r="A494" s="58" t="s">
        <v>481</v>
      </c>
      <c r="B494" s="63" t="s">
        <v>633</v>
      </c>
      <c r="C494" s="241">
        <f t="shared" si="66"/>
        <v>21.278404007872606</v>
      </c>
      <c r="D494" s="241">
        <f t="shared" si="66"/>
        <v>22.19738367279351</v>
      </c>
      <c r="E494" s="241">
        <f t="shared" si="66"/>
        <v>18.835721991061796</v>
      </c>
      <c r="F494" s="241">
        <f t="shared" si="66"/>
        <v>25.18179173938336</v>
      </c>
      <c r="G494" s="241">
        <f t="shared" si="66"/>
        <v>17.843020956899959</v>
      </c>
      <c r="H494" s="241">
        <f t="shared" si="66"/>
        <v>10.89672914369717</v>
      </c>
      <c r="I494" s="241">
        <f t="shared" si="66"/>
        <v>10.952481669486746</v>
      </c>
      <c r="J494" s="241">
        <f t="shared" si="66"/>
        <v>31.960408684546618</v>
      </c>
      <c r="K494" s="241">
        <f t="shared" si="66"/>
        <v>37.655253440751935</v>
      </c>
      <c r="L494" s="241">
        <f t="shared" si="66"/>
        <v>25.726299694189606</v>
      </c>
      <c r="M494" s="241">
        <f t="shared" si="66"/>
        <v>8.8139825218476915</v>
      </c>
      <c r="N494" s="241">
        <f t="shared" si="66"/>
        <v>10.560344827586206</v>
      </c>
      <c r="O494" s="49"/>
      <c r="P494" s="49"/>
    </row>
    <row r="495" spans="1:16" x14ac:dyDescent="0.3">
      <c r="A495" s="58" t="s">
        <v>482</v>
      </c>
      <c r="B495" s="63" t="s">
        <v>634</v>
      </c>
      <c r="C495" s="241">
        <f>IFERROR(C436+C437/C469*1000,"")</f>
        <v>3.0419717746907673</v>
      </c>
      <c r="D495" s="241">
        <f t="shared" ref="D495:N495" si="67">IFERROR(D436+D437/D469*1000,"")</f>
        <v>1.5147167755991287</v>
      </c>
      <c r="E495" s="241">
        <f t="shared" si="67"/>
        <v>4.7428125008333302</v>
      </c>
      <c r="F495" s="241">
        <f t="shared" si="67"/>
        <v>2.7578216952633938</v>
      </c>
      <c r="G495" s="241">
        <f t="shared" si="67"/>
        <v>2.1289431913116115</v>
      </c>
      <c r="H495" s="241">
        <f t="shared" si="67"/>
        <v>1.2722357275595315</v>
      </c>
      <c r="I495" s="241">
        <f t="shared" si="67"/>
        <v>1.2578545936616292</v>
      </c>
      <c r="J495" s="241">
        <f t="shared" si="67"/>
        <v>0.53627225261603917</v>
      </c>
      <c r="K495" s="241">
        <f t="shared" si="67"/>
        <v>0.61677503207942108</v>
      </c>
      <c r="L495" s="241">
        <f t="shared" si="67"/>
        <v>0.26140074886502601</v>
      </c>
      <c r="M495" s="241">
        <f t="shared" si="67"/>
        <v>0.26817514380865881</v>
      </c>
      <c r="N495" s="241">
        <f t="shared" si="67"/>
        <v>0.14798850574712641</v>
      </c>
      <c r="O495" s="49"/>
      <c r="P495" s="49"/>
    </row>
    <row r="496" spans="1:16" x14ac:dyDescent="0.3">
      <c r="A496" s="58" t="s">
        <v>483</v>
      </c>
      <c r="B496" s="63" t="s">
        <v>635</v>
      </c>
      <c r="C496" s="241">
        <f>IFERROR(C438/C470*1000,"")</f>
        <v>0.86957375327497066</v>
      </c>
      <c r="D496" s="241">
        <f t="shared" ref="D496:N496" si="68">IFERROR(D438/D470*1000,"")</f>
        <v>0.69966556142769321</v>
      </c>
      <c r="E496" s="241">
        <f t="shared" si="68"/>
        <v>0.69819098654158451</v>
      </c>
      <c r="F496" s="241">
        <f t="shared" si="68"/>
        <v>0.6251634609409602</v>
      </c>
      <c r="G496" s="241">
        <f t="shared" si="68"/>
        <v>0.55990954072465027</v>
      </c>
      <c r="H496" s="241">
        <f t="shared" si="68"/>
        <v>0.52072069295499046</v>
      </c>
      <c r="I496" s="241">
        <f t="shared" si="68"/>
        <v>0.53312802470966014</v>
      </c>
      <c r="J496" s="241">
        <f t="shared" si="68"/>
        <v>0.50008252029591493</v>
      </c>
      <c r="K496" s="241">
        <f t="shared" si="68"/>
        <v>0.48751210872901424</v>
      </c>
      <c r="L496" s="241">
        <f t="shared" si="68"/>
        <v>0.39483460779350837</v>
      </c>
      <c r="M496" s="241">
        <f t="shared" si="68"/>
        <v>0.40494379231103661</v>
      </c>
      <c r="N496" s="241">
        <f t="shared" si="68"/>
        <v>0.46079562159350484</v>
      </c>
      <c r="O496" s="49"/>
      <c r="P496" s="49"/>
    </row>
    <row r="497" spans="1:16" x14ac:dyDescent="0.3">
      <c r="A497" s="58" t="s">
        <v>484</v>
      </c>
      <c r="B497" s="63" t="s">
        <v>636</v>
      </c>
      <c r="C497" s="241">
        <f>IFERROR(C440/C472*1000,"")</f>
        <v>0.95568260869565247</v>
      </c>
      <c r="D497" s="241">
        <f t="shared" ref="D497:N498" si="69">IFERROR(D440/D472*1000,"")</f>
        <v>0.79299580487804877</v>
      </c>
      <c r="E497" s="241">
        <f t="shared" si="69"/>
        <v>1.1180878341013827</v>
      </c>
      <c r="F497" s="241">
        <f t="shared" si="69"/>
        <v>1.2436429590017828</v>
      </c>
      <c r="G497" s="241">
        <f t="shared" si="69"/>
        <v>1.0851506340579711</v>
      </c>
      <c r="H497" s="241">
        <f t="shared" si="69"/>
        <v>1.0015885433715221</v>
      </c>
      <c r="I497" s="241">
        <f t="shared" si="69"/>
        <v>0.99339583333333337</v>
      </c>
      <c r="J497" s="241">
        <f t="shared" si="69"/>
        <v>1.0253158064516128</v>
      </c>
      <c r="K497" s="241">
        <f t="shared" si="69"/>
        <v>1.0002475671750182</v>
      </c>
      <c r="L497" s="241">
        <f t="shared" si="69"/>
        <v>0.78477377286001881</v>
      </c>
      <c r="M497" s="241">
        <f t="shared" si="69"/>
        <v>0.74717285945072687</v>
      </c>
      <c r="N497" s="241">
        <f t="shared" si="69"/>
        <v>0.79266611524676045</v>
      </c>
      <c r="O497" s="49"/>
      <c r="P497" s="49"/>
    </row>
    <row r="498" spans="1:16" x14ac:dyDescent="0.3">
      <c r="A498" s="58" t="s">
        <v>485</v>
      </c>
      <c r="B498" s="63" t="s">
        <v>637</v>
      </c>
      <c r="C498" s="241">
        <f>IFERROR(C441/C473*1000,"")</f>
        <v>1.5321255278293708</v>
      </c>
      <c r="D498" s="241">
        <f t="shared" si="69"/>
        <v>1.2996699433328256</v>
      </c>
      <c r="E498" s="241">
        <f t="shared" si="69"/>
        <v>1.1352033921050932</v>
      </c>
      <c r="F498" s="241">
        <f t="shared" si="69"/>
        <v>0.73902310553210404</v>
      </c>
      <c r="G498" s="241">
        <f t="shared" si="69"/>
        <v>0.69485721635580699</v>
      </c>
      <c r="H498" s="241">
        <f t="shared" si="69"/>
        <v>0.90387640519508028</v>
      </c>
      <c r="I498" s="241">
        <f t="shared" si="69"/>
        <v>0.63410690623988664</v>
      </c>
      <c r="J498" s="241">
        <f t="shared" si="69"/>
        <v>0.58564245275480831</v>
      </c>
      <c r="K498" s="241">
        <f t="shared" si="69"/>
        <v>0.50120291243166071</v>
      </c>
      <c r="L498" s="241">
        <f t="shared" si="69"/>
        <v>0.39896328050957569</v>
      </c>
      <c r="M498" s="241">
        <f t="shared" si="69"/>
        <v>0.40638559678777286</v>
      </c>
      <c r="N498" s="241">
        <f t="shared" si="69"/>
        <v>0.3955649667666607</v>
      </c>
      <c r="O498" s="49"/>
      <c r="P498" s="49"/>
    </row>
    <row r="499" spans="1:16" x14ac:dyDescent="0.3">
      <c r="A499" s="80" t="s">
        <v>486</v>
      </c>
      <c r="B499" s="63" t="s">
        <v>638</v>
      </c>
      <c r="C499" s="242">
        <f>IFERROR(C443/C475*1000,"")</f>
        <v>2.7486194605482712</v>
      </c>
      <c r="D499" s="242">
        <f t="shared" ref="D499:N500" si="70">IFERROR(D443/D475*1000,"")</f>
        <v>2.4116022524454466</v>
      </c>
      <c r="E499" s="242">
        <f t="shared" si="70"/>
        <v>2.2501892527165532</v>
      </c>
      <c r="F499" s="242">
        <f t="shared" si="70"/>
        <v>2.5184599268390842</v>
      </c>
      <c r="G499" s="242">
        <f t="shared" si="70"/>
        <v>2.0543415894086841</v>
      </c>
      <c r="H499" s="242">
        <f t="shared" si="70"/>
        <v>1.9314483051159708</v>
      </c>
      <c r="I499" s="242">
        <f t="shared" si="70"/>
        <v>1.4990675470519672</v>
      </c>
      <c r="J499" s="242">
        <f t="shared" si="70"/>
        <v>1.5196006862235822</v>
      </c>
      <c r="K499" s="242">
        <f t="shared" si="70"/>
        <v>1.5162943626215069</v>
      </c>
      <c r="L499" s="242">
        <f t="shared" si="70"/>
        <v>1.4181771524126416</v>
      </c>
      <c r="M499" s="242">
        <f t="shared" si="70"/>
        <v>1.3252414711555511</v>
      </c>
      <c r="N499" s="242">
        <f t="shared" si="70"/>
        <v>1.1954261954261958</v>
      </c>
      <c r="O499" s="49"/>
      <c r="P499" s="49"/>
    </row>
    <row r="500" spans="1:16" x14ac:dyDescent="0.3">
      <c r="A500" s="80" t="s">
        <v>487</v>
      </c>
      <c r="B500" s="63" t="s">
        <v>639</v>
      </c>
      <c r="C500" s="242">
        <f>IFERROR(C444/C476*1000,"")</f>
        <v>2.7496533791218281</v>
      </c>
      <c r="D500" s="242">
        <f t="shared" si="70"/>
        <v>2.4104395436997583</v>
      </c>
      <c r="E500" s="242">
        <f t="shared" si="70"/>
        <v>2.2514077338384419</v>
      </c>
      <c r="F500" s="242">
        <f t="shared" si="70"/>
        <v>2.5182571558458346</v>
      </c>
      <c r="G500" s="242">
        <f t="shared" si="70"/>
        <v>2.054318788958148</v>
      </c>
      <c r="H500" s="242">
        <f t="shared" si="70"/>
        <v>1.9320514310057708</v>
      </c>
      <c r="I500" s="242">
        <f t="shared" si="70"/>
        <v>1.4991623857334417</v>
      </c>
      <c r="J500" s="242">
        <f t="shared" si="70"/>
        <v>1.5196666952519793</v>
      </c>
      <c r="K500" s="242">
        <f t="shared" si="70"/>
        <v>1.5163821374934872</v>
      </c>
      <c r="L500" s="242">
        <f t="shared" si="70"/>
        <v>1.413439425223683</v>
      </c>
      <c r="M500" s="242">
        <f t="shared" si="70"/>
        <v>1.324970053595921</v>
      </c>
      <c r="N500" s="242">
        <f t="shared" si="70"/>
        <v>1.1954261954261953</v>
      </c>
      <c r="O500" s="49"/>
      <c r="P500" s="49"/>
    </row>
    <row r="501" spans="1:16" x14ac:dyDescent="0.3">
      <c r="A501" s="58" t="s">
        <v>488</v>
      </c>
      <c r="B501" s="63" t="s">
        <v>640</v>
      </c>
      <c r="C501" s="241">
        <f>IFERROR(C447/C479*1000,"")</f>
        <v>0.45668347184749458</v>
      </c>
      <c r="D501" s="241">
        <f t="shared" ref="D501:N501" si="71">IFERROR(D447/D479*1000,"")</f>
        <v>0.46234304243682639</v>
      </c>
      <c r="E501" s="241">
        <f t="shared" si="71"/>
        <v>0.61005255869016539</v>
      </c>
      <c r="F501" s="241">
        <f t="shared" si="71"/>
        <v>0.64582358280937002</v>
      </c>
      <c r="G501" s="241">
        <f t="shared" si="71"/>
        <v>0.50839672626605215</v>
      </c>
      <c r="H501" s="241">
        <f t="shared" si="71"/>
        <v>0.51242383409746006</v>
      </c>
      <c r="I501" s="241">
        <f t="shared" si="71"/>
        <v>0.59368361825096228</v>
      </c>
      <c r="J501" s="241">
        <f t="shared" si="71"/>
        <v>0.35427916987351787</v>
      </c>
      <c r="K501" s="241">
        <f t="shared" si="71"/>
        <v>0.34075378364890219</v>
      </c>
      <c r="L501" s="241">
        <f t="shared" si="71"/>
        <v>0.30433638279162767</v>
      </c>
      <c r="M501" s="241">
        <f t="shared" si="71"/>
        <v>0.20873065158787785</v>
      </c>
      <c r="N501" s="241">
        <f t="shared" si="71"/>
        <v>0.23699490460955086</v>
      </c>
      <c r="O501" s="49"/>
      <c r="P501" s="49"/>
    </row>
    <row r="502" spans="1:16" x14ac:dyDescent="0.3">
      <c r="A502" s="58" t="s">
        <v>489</v>
      </c>
      <c r="B502" s="63" t="s">
        <v>641</v>
      </c>
      <c r="C502" s="241">
        <f>IFERROR(C449/C481*1000,"")</f>
        <v>0.48584302237814381</v>
      </c>
      <c r="D502" s="241">
        <f t="shared" ref="D502:N504" si="72">IFERROR(D449/D481*1000,"")</f>
        <v>0.48629672883573372</v>
      </c>
      <c r="E502" s="241">
        <f t="shared" si="72"/>
        <v>0.47889865651062141</v>
      </c>
      <c r="F502" s="241">
        <f t="shared" si="72"/>
        <v>0.48426438271726219</v>
      </c>
      <c r="G502" s="241">
        <f t="shared" si="72"/>
        <v>0.51334646718777321</v>
      </c>
      <c r="H502" s="241">
        <f t="shared" si="72"/>
        <v>0.50336790346963967</v>
      </c>
      <c r="I502" s="241">
        <f t="shared" si="72"/>
        <v>0.567366111588684</v>
      </c>
      <c r="J502" s="241">
        <f t="shared" si="72"/>
        <v>0.43283133077423364</v>
      </c>
      <c r="K502" s="241">
        <f t="shared" si="72"/>
        <v>0.41103185174190487</v>
      </c>
      <c r="L502" s="241">
        <f t="shared" si="72"/>
        <v>0.39248193436185691</v>
      </c>
      <c r="M502" s="241">
        <f t="shared" si="72"/>
        <v>0.41429386600723855</v>
      </c>
      <c r="N502" s="241">
        <f t="shared" si="72"/>
        <v>0.22530883293118029</v>
      </c>
      <c r="O502" s="49"/>
      <c r="P502" s="49"/>
    </row>
    <row r="503" spans="1:16" x14ac:dyDescent="0.3">
      <c r="A503" s="80" t="s">
        <v>490</v>
      </c>
      <c r="B503" s="63" t="s">
        <v>642</v>
      </c>
      <c r="C503" s="242">
        <f>IFERROR(C450/C482*1000,"")</f>
        <v>1.6775597758852725</v>
      </c>
      <c r="D503" s="242">
        <f t="shared" si="72"/>
        <v>1.4869293781364359</v>
      </c>
      <c r="E503" s="242">
        <f t="shared" si="72"/>
        <v>1.3917766263160818</v>
      </c>
      <c r="F503" s="242">
        <f t="shared" si="72"/>
        <v>1.5519991440992524</v>
      </c>
      <c r="G503" s="242">
        <f t="shared" si="72"/>
        <v>1.3150027315994075</v>
      </c>
      <c r="H503" s="242">
        <f t="shared" si="72"/>
        <v>1.2636369577792594</v>
      </c>
      <c r="I503" s="242">
        <f t="shared" si="72"/>
        <v>1.0183584587717043</v>
      </c>
      <c r="J503" s="242">
        <f t="shared" si="72"/>
        <v>0.97346165486937852</v>
      </c>
      <c r="K503" s="242">
        <f t="shared" si="72"/>
        <v>0.96368023121802615</v>
      </c>
      <c r="L503" s="242">
        <f t="shared" si="72"/>
        <v>0.93396035638317776</v>
      </c>
      <c r="M503" s="242">
        <f t="shared" si="72"/>
        <v>0.85785357097207837</v>
      </c>
      <c r="N503" s="242">
        <f t="shared" si="72"/>
        <v>0.73693675580278362</v>
      </c>
      <c r="O503" s="49"/>
      <c r="P503" s="49"/>
    </row>
    <row r="504" spans="1:16" x14ac:dyDescent="0.3">
      <c r="A504" s="80" t="s">
        <v>491</v>
      </c>
      <c r="B504" s="63" t="s">
        <v>643</v>
      </c>
      <c r="C504" s="242">
        <f>IFERROR(C451/C483*1000,"")</f>
        <v>1.6946508615653468</v>
      </c>
      <c r="D504" s="242">
        <f t="shared" si="72"/>
        <v>1.4902927162040063</v>
      </c>
      <c r="E504" s="242">
        <f t="shared" si="72"/>
        <v>1.3961765913616884</v>
      </c>
      <c r="F504" s="242">
        <f t="shared" si="72"/>
        <v>1.5556924801960621</v>
      </c>
      <c r="G504" s="242">
        <f t="shared" si="72"/>
        <v>1.3164788738290314</v>
      </c>
      <c r="H504" s="242">
        <f t="shared" si="72"/>
        <v>1.2638265644666995</v>
      </c>
      <c r="I504" s="242">
        <f t="shared" si="72"/>
        <v>1.0185504030201</v>
      </c>
      <c r="J504" s="242">
        <f t="shared" si="72"/>
        <v>0.97320286096987918</v>
      </c>
      <c r="K504" s="242">
        <f t="shared" si="72"/>
        <v>0.97242456270650623</v>
      </c>
      <c r="L504" s="242">
        <f t="shared" si="72"/>
        <v>0.94211035855949088</v>
      </c>
      <c r="M504" s="242">
        <f t="shared" si="72"/>
        <v>0.84613205266890912</v>
      </c>
      <c r="N504" s="242">
        <f t="shared" si="72"/>
        <v>0.72979814741065241</v>
      </c>
      <c r="O504" s="49"/>
      <c r="P504" s="49"/>
    </row>
    <row r="505" spans="1:16" x14ac:dyDescent="0.3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spans="1:16" ht="15.6" x14ac:dyDescent="0.3">
      <c r="A506" s="8" t="s">
        <v>492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spans="1:16" x14ac:dyDescent="0.3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spans="1:16" x14ac:dyDescent="0.3">
      <c r="A508" s="58" t="s">
        <v>493</v>
      </c>
      <c r="B508" s="63" t="s">
        <v>644</v>
      </c>
      <c r="C508" s="241">
        <f>IFERROR(C436/C89*1000,"")</f>
        <v>15.740740740740742</v>
      </c>
      <c r="D508" s="241">
        <f t="shared" ref="D508:N508" si="73">IFERROR(D436/D89*1000,"")</f>
        <v>15.740740740740742</v>
      </c>
      <c r="E508" s="241">
        <f t="shared" si="73"/>
        <v>11.111111111111109</v>
      </c>
      <c r="F508" s="241">
        <f t="shared" si="73"/>
        <v>11.111111111111109</v>
      </c>
      <c r="G508" s="241">
        <f t="shared" si="73"/>
        <v>11.185682326621922</v>
      </c>
      <c r="H508" s="241">
        <f t="shared" si="73"/>
        <v>5.7870370370370372</v>
      </c>
      <c r="I508" s="241">
        <f t="shared" si="73"/>
        <v>2.861952861952862</v>
      </c>
      <c r="J508" s="241">
        <f t="shared" si="73"/>
        <v>3.306878306878307</v>
      </c>
      <c r="K508" s="241">
        <f t="shared" si="73"/>
        <v>7.1270757608153374</v>
      </c>
      <c r="L508" s="241">
        <f t="shared" si="73"/>
        <v>9.104292577095924</v>
      </c>
      <c r="M508" s="241">
        <f t="shared" si="73"/>
        <v>8.6466065394950391</v>
      </c>
      <c r="N508" s="241">
        <f t="shared" si="73"/>
        <v>175.14361776656861</v>
      </c>
      <c r="O508" s="49"/>
      <c r="P508" s="49"/>
    </row>
    <row r="509" spans="1:16" x14ac:dyDescent="0.3">
      <c r="A509" s="58" t="s">
        <v>495</v>
      </c>
      <c r="B509" s="63" t="s">
        <v>644</v>
      </c>
      <c r="C509" s="241">
        <f>IFERROR(C435/C92*1000,"")</f>
        <v>2.5595948148148153</v>
      </c>
      <c r="D509" s="241">
        <f t="shared" ref="D509:N509" si="74">IFERROR(D435/D92*1000,"")</f>
        <v>2.7472085796994334</v>
      </c>
      <c r="E509" s="241">
        <f t="shared" si="74"/>
        <v>2.526366655116655</v>
      </c>
      <c r="F509" s="241">
        <f t="shared" si="74"/>
        <v>2.5616167153996097</v>
      </c>
      <c r="G509" s="241">
        <f t="shared" si="74"/>
        <v>2.7281770425841065</v>
      </c>
      <c r="H509" s="241">
        <f t="shared" si="74"/>
        <v>1.5307229344729347</v>
      </c>
      <c r="I509" s="241">
        <f t="shared" si="74"/>
        <v>1.6122597244025816</v>
      </c>
      <c r="J509" s="241">
        <f t="shared" si="74"/>
        <v>1.7706383193628135</v>
      </c>
      <c r="K509" s="241">
        <f t="shared" si="74"/>
        <v>1.9056104856283564</v>
      </c>
      <c r="L509" s="241">
        <f t="shared" si="74"/>
        <v>7.7099008374962059</v>
      </c>
      <c r="M509" s="241">
        <f t="shared" si="74"/>
        <v>0.33353814074944504</v>
      </c>
      <c r="N509" s="241">
        <f t="shared" si="74"/>
        <v>121.25668625146885</v>
      </c>
      <c r="O509" s="49"/>
      <c r="P509" s="49"/>
    </row>
    <row r="510" spans="1:16" x14ac:dyDescent="0.3">
      <c r="A510" s="58" t="s">
        <v>496</v>
      </c>
      <c r="B510" s="63" t="s">
        <v>644</v>
      </c>
      <c r="C510" s="241">
        <f>IFERROR(C432/(C95+C96)*1000,"")</f>
        <v>2.6650098966260902</v>
      </c>
      <c r="D510" s="241">
        <f t="shared" ref="D510:N510" si="75">IFERROR(D432/(D95+D96)*1000,"")</f>
        <v>2.5510493041026394</v>
      </c>
      <c r="E510" s="241">
        <f t="shared" si="75"/>
        <v>2.3796712204640316</v>
      </c>
      <c r="F510" s="241">
        <f t="shared" si="75"/>
        <v>2.375451312511907</v>
      </c>
      <c r="G510" s="241">
        <f t="shared" si="75"/>
        <v>2.1956966585403412</v>
      </c>
      <c r="H510" s="241">
        <f t="shared" si="75"/>
        <v>2.2150571931183736</v>
      </c>
      <c r="I510" s="241">
        <f t="shared" si="75"/>
        <v>2.3199981970568988</v>
      </c>
      <c r="J510" s="241">
        <f t="shared" si="75"/>
        <v>2.7251137270032655</v>
      </c>
      <c r="K510" s="241">
        <f t="shared" si="75"/>
        <v>2.8921005038108776</v>
      </c>
      <c r="L510" s="241">
        <f t="shared" si="75"/>
        <v>2.5574639215543651</v>
      </c>
      <c r="M510" s="241">
        <f t="shared" si="75"/>
        <v>2.5172370622793836</v>
      </c>
      <c r="N510" s="241">
        <f t="shared" si="75"/>
        <v>24.635181938064253</v>
      </c>
      <c r="O510" s="49"/>
      <c r="P510" s="49"/>
    </row>
    <row r="511" spans="1:16" x14ac:dyDescent="0.3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spans="1:16" x14ac:dyDescent="0.3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spans="1:16" x14ac:dyDescent="0.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</sheetData>
  <conditionalFormatting sqref="C9:N23">
    <cfRule type="containsBlanks" dxfId="1073" priority="420">
      <formula>LEN(TRIM(C9))=0</formula>
    </cfRule>
  </conditionalFormatting>
  <conditionalFormatting sqref="C27:N29">
    <cfRule type="containsBlanks" dxfId="1072" priority="417">
      <formula>LEN(TRIM(C27))=0</formula>
    </cfRule>
  </conditionalFormatting>
  <conditionalFormatting sqref="C36:N50">
    <cfRule type="containsBlanks" dxfId="1071" priority="411">
      <formula>LEN(TRIM(C36))=0</formula>
    </cfRule>
  </conditionalFormatting>
  <conditionalFormatting sqref="C55:N57">
    <cfRule type="containsBlanks" dxfId="1070" priority="402">
      <formula>LEN(TRIM(C55))=0</formula>
    </cfRule>
  </conditionalFormatting>
  <conditionalFormatting sqref="C65:N78">
    <cfRule type="containsBlanks" dxfId="1069" priority="400">
      <formula>LEN(TRIM(C65))=0</formula>
    </cfRule>
  </conditionalFormatting>
  <conditionalFormatting sqref="C83:N85">
    <cfRule type="containsBlanks" dxfId="1068" priority="399">
      <formula>LEN(TRIM(C83))=0</formula>
    </cfRule>
  </conditionalFormatting>
  <conditionalFormatting sqref="C89:N101">
    <cfRule type="containsBlanks" dxfId="1067" priority="372">
      <formula>LEN(TRIM(C89))=0</formula>
    </cfRule>
  </conditionalFormatting>
  <conditionalFormatting sqref="C107:N122">
    <cfRule type="containsBlanks" dxfId="1066" priority="16">
      <formula>LEN(TRIM(C107))=0</formula>
    </cfRule>
  </conditionalFormatting>
  <conditionalFormatting sqref="C127:N142">
    <cfRule type="containsBlanks" dxfId="1065" priority="15">
      <formula>LEN(TRIM(C127))=0</formula>
    </cfRule>
  </conditionalFormatting>
  <conditionalFormatting sqref="C147:N162">
    <cfRule type="containsBlanks" dxfId="1064" priority="14">
      <formula>LEN(TRIM(C147))=0</formula>
    </cfRule>
  </conditionalFormatting>
  <conditionalFormatting sqref="C167:N182">
    <cfRule type="containsBlanks" dxfId="1063" priority="13">
      <formula>LEN(TRIM(C167))=0</formula>
    </cfRule>
  </conditionalFormatting>
  <conditionalFormatting sqref="C188:N203">
    <cfRule type="containsBlanks" dxfId="1062" priority="12">
      <formula>LEN(TRIM(C188))=0</formula>
    </cfRule>
  </conditionalFormatting>
  <conditionalFormatting sqref="C208:N223">
    <cfRule type="containsBlanks" dxfId="1061" priority="11">
      <formula>LEN(TRIM(C208))=0</formula>
    </cfRule>
  </conditionalFormatting>
  <conditionalFormatting sqref="C228:N243">
    <cfRule type="containsBlanks" dxfId="1060" priority="10">
      <formula>LEN(TRIM(C228))=0</formula>
    </cfRule>
  </conditionalFormatting>
  <conditionalFormatting sqref="C248:N263">
    <cfRule type="containsBlanks" dxfId="1059" priority="9">
      <formula>LEN(TRIM(C248))=0</formula>
    </cfRule>
  </conditionalFormatting>
  <conditionalFormatting sqref="C268:N283">
    <cfRule type="containsBlanks" dxfId="1058" priority="8">
      <formula>LEN(TRIM(C268))=0</formula>
    </cfRule>
  </conditionalFormatting>
  <conditionalFormatting sqref="C288:N303">
    <cfRule type="containsBlanks" dxfId="1057" priority="7">
      <formula>LEN(TRIM(C288))=0</formula>
    </cfRule>
  </conditionalFormatting>
  <conditionalFormatting sqref="C308:N323">
    <cfRule type="containsBlanks" dxfId="1056" priority="6">
      <formula>LEN(TRIM(C308))=0</formula>
    </cfRule>
  </conditionalFormatting>
  <conditionalFormatting sqref="C328:N343">
    <cfRule type="containsBlanks" dxfId="1055" priority="5">
      <formula>LEN(TRIM(C328))=0</formula>
    </cfRule>
  </conditionalFormatting>
  <conditionalFormatting sqref="C351:N366">
    <cfRule type="containsBlanks" dxfId="1054" priority="4">
      <formula>LEN(TRIM(C351))=0</formula>
    </cfRule>
  </conditionalFormatting>
  <conditionalFormatting sqref="C372:N372">
    <cfRule type="containsBlanks" dxfId="1053" priority="64">
      <formula>LEN(TRIM(C372))=0</formula>
    </cfRule>
  </conditionalFormatting>
  <conditionalFormatting sqref="C376:N391">
    <cfRule type="containsBlanks" dxfId="1052" priority="3">
      <formula>LEN(TRIM(C376))=0</formula>
    </cfRule>
  </conditionalFormatting>
  <conditionalFormatting sqref="C399:N414">
    <cfRule type="containsBlanks" dxfId="1051" priority="2">
      <formula>LEN(TRIM(C399))=0</formula>
    </cfRule>
  </conditionalFormatting>
  <conditionalFormatting sqref="C429:N444">
    <cfRule type="containsBlanks" dxfId="1050" priority="54">
      <formula>LEN(TRIM(C429))=0</formula>
    </cfRule>
  </conditionalFormatting>
  <conditionalFormatting sqref="C447:N451">
    <cfRule type="containsBlanks" dxfId="1049" priority="52">
      <formula>LEN(TRIM(C447))=0</formula>
    </cfRule>
  </conditionalFormatting>
  <conditionalFormatting sqref="C461:N476">
    <cfRule type="containsBlanks" dxfId="1048" priority="51">
      <formula>LEN(TRIM(C461))=0</formula>
    </cfRule>
  </conditionalFormatting>
  <conditionalFormatting sqref="C479:N483">
    <cfRule type="containsBlanks" dxfId="1047" priority="50">
      <formula>LEN(TRIM(C479))=0</formula>
    </cfRule>
  </conditionalFormatting>
  <conditionalFormatting sqref="C489:N504">
    <cfRule type="containsBlanks" dxfId="1046" priority="20">
      <formula>LEN(TRIM(C489))=0</formula>
    </cfRule>
  </conditionalFormatting>
  <conditionalFormatting sqref="C508:N510">
    <cfRule type="containsBlanks" dxfId="1045" priority="17">
      <formula>LEN(TRIM(C508))=0</formula>
    </cfRule>
  </conditionalFormatting>
  <conditionalFormatting sqref="O9:O23 P23">
    <cfRule type="expression" dxfId="1044" priority="422">
      <formula>AND($AH9&lt;&gt;"",ISBLANK($E9:$AD9))</formula>
    </cfRule>
  </conditionalFormatting>
  <conditionalFormatting sqref="O36:O50">
    <cfRule type="expression" dxfId="1043" priority="409">
      <formula>AND(COUNT(K36:XEJ36)&lt;&gt;0,(O36)="")</formula>
    </cfRule>
    <cfRule type="expression" dxfId="1042" priority="410">
      <formula>AND($AH36&lt;&gt;"",ISBLANK($E36:$AD36))</formula>
    </cfRule>
  </conditionalFormatting>
  <conditionalFormatting sqref="O55:O57">
    <cfRule type="expression" dxfId="1041" priority="406">
      <formula>AND($AH55&lt;&gt;"",ISBLANK($E55:$AD55))</formula>
    </cfRule>
    <cfRule type="expression" dxfId="1040" priority="405">
      <formula>AND(COUNT(K55:XEJ55)&lt;&gt;0,(O55)="")</formula>
    </cfRule>
  </conditionalFormatting>
  <conditionalFormatting sqref="O65:O78">
    <cfRule type="expression" dxfId="1039" priority="404">
      <formula>AND(COUNT(K65:XEM65)&lt;&gt;0,(O65)="")</formula>
    </cfRule>
    <cfRule type="expression" dxfId="1038" priority="403">
      <formula>AND($AK65&lt;&gt;"",ISBLANK($E65:$AG65))</formula>
    </cfRule>
  </conditionalFormatting>
  <conditionalFormatting sqref="O83:O86">
    <cfRule type="expression" dxfId="1037" priority="397">
      <formula>AND($AK83&lt;&gt;"",ISBLANK($E83:$AG83))</formula>
    </cfRule>
    <cfRule type="expression" dxfId="1036" priority="398">
      <formula>AND(COUNT(K83:XEM83)&lt;&gt;0,(O83)="")</formula>
    </cfRule>
  </conditionalFormatting>
  <conditionalFormatting sqref="O89:O101">
    <cfRule type="expression" dxfId="1035" priority="396">
      <formula>AND(COUNT(K89:XEM89)&lt;&gt;0,(O89)="")</formula>
    </cfRule>
    <cfRule type="expression" dxfId="1034" priority="393">
      <formula>AND($AK89&lt;&gt;"",ISBLANK($E89:$AG89))</formula>
    </cfRule>
  </conditionalFormatting>
  <conditionalFormatting sqref="O399:O414">
    <cfRule type="expression" dxfId="1033" priority="60">
      <formula>AND($AK399&lt;&gt;"",ISBLANK($E399:$AG399))</formula>
    </cfRule>
    <cfRule type="expression" dxfId="1032" priority="61">
      <formula>AND(COUNT(K399:XEM399)&lt;&gt;0,(O399)="")</formula>
    </cfRule>
  </conditionalFormatting>
  <conditionalFormatting sqref="O7:P7 O9:O23 P23">
    <cfRule type="expression" dxfId="1031" priority="421">
      <formula>AND(COUNT(K7:XEJ7)&lt;&gt;0,(O7)="")</formula>
    </cfRule>
  </conditionalFormatting>
  <conditionalFormatting sqref="O27:P29">
    <cfRule type="expression" dxfId="1030" priority="23">
      <formula>AND($AH27&lt;&gt;"",ISBLANK($E27:$AD27))</formula>
    </cfRule>
    <cfRule type="expression" dxfId="1029" priority="22">
      <formula>AND(COUNT(K27:XEJ27)&lt;&gt;0,(O27)="")</formula>
    </cfRule>
  </conditionalFormatting>
  <conditionalFormatting sqref="O477:P484">
    <cfRule type="cellIs" dxfId="1028" priority="30" operator="equal">
      <formula>""""""</formula>
    </cfRule>
    <cfRule type="cellIs" dxfId="1027" priority="31" operator="between">
      <formula>1.05</formula>
      <formula>1.1</formula>
    </cfRule>
    <cfRule type="cellIs" dxfId="1026" priority="32" operator="between">
      <formula>0.9</formula>
      <formula>0.95</formula>
    </cfRule>
    <cfRule type="cellIs" dxfId="1025" priority="33" operator="lessThan">
      <formula>0.9</formula>
    </cfRule>
    <cfRule type="cellIs" dxfId="1024" priority="34" operator="greaterThan">
      <formula>1.1</formula>
    </cfRule>
    <cfRule type="cellIs" dxfId="1023" priority="35" operator="between">
      <formula>0.95</formula>
      <formula>1.05</formula>
    </cfRule>
    <cfRule type="containsBlanks" dxfId="1022" priority="29">
      <formula>LEN(TRIM(O477))=0</formula>
    </cfRule>
  </conditionalFormatting>
  <conditionalFormatting sqref="P50">
    <cfRule type="expression" dxfId="1021" priority="408">
      <formula>AND($AH50&lt;&gt;"",ISBLANK($E50:$AD50))</formula>
    </cfRule>
    <cfRule type="expression" dxfId="1020" priority="407">
      <formula>AND(COUNT(L50:XEK50)&lt;&gt;0,(P50)="")</formula>
    </cfRule>
  </conditionalFormatting>
  <conditionalFormatting sqref="P96">
    <cfRule type="expression" dxfId="1019" priority="371">
      <formula>AND(COUNT(O96:XEN96)&lt;&gt;0,(P96)="")</formula>
    </cfRule>
    <cfRule type="expression" dxfId="1018" priority="370">
      <formula>AND($AK96&lt;&gt;"",ISBLANK($E96:$AG96))</formula>
    </cfRule>
  </conditionalFormatting>
  <conditionalFormatting sqref="P108:P110">
    <cfRule type="expression" dxfId="1017" priority="364">
      <formula>AND($AM108&lt;&gt;"",ISBLANK($E108:$AG108))</formula>
    </cfRule>
    <cfRule type="expression" dxfId="1016" priority="363">
      <formula>AND(COUNT(J108:XEL108)&lt;&gt;0,(P108)="")</formula>
    </cfRule>
  </conditionalFormatting>
  <conditionalFormatting sqref="P112:P113">
    <cfRule type="expression" dxfId="1015" priority="360">
      <formula>AND($AM112&lt;&gt;"",ISBLANK($E112:$AG112))</formula>
    </cfRule>
    <cfRule type="expression" dxfId="1014" priority="359">
      <formula>AND(COUNT(J112:XEL112)&lt;&gt;0,(P112)="")</formula>
    </cfRule>
  </conditionalFormatting>
  <conditionalFormatting sqref="P115:P122">
    <cfRule type="expression" dxfId="1013" priority="344">
      <formula>AND($AM115&lt;&gt;"",ISBLANK($E115:$AG115))</formula>
    </cfRule>
    <cfRule type="expression" dxfId="1012" priority="343">
      <formula>AND(COUNT(J115:XEL115)&lt;&gt;0,(P115)="")</formula>
    </cfRule>
  </conditionalFormatting>
  <conditionalFormatting sqref="P128:P130">
    <cfRule type="expression" dxfId="1011" priority="337">
      <formula>AND($AM128&lt;&gt;"",ISBLANK($E128:$AG128))</formula>
    </cfRule>
    <cfRule type="expression" dxfId="1010" priority="336">
      <formula>AND(COUNT(J128:XEL128)&lt;&gt;0,(P128)="")</formula>
    </cfRule>
  </conditionalFormatting>
  <conditionalFormatting sqref="P132:P133">
    <cfRule type="expression" dxfId="1009" priority="333">
      <formula>AND($AM132&lt;&gt;"",ISBLANK($E132:$AG132))</formula>
    </cfRule>
    <cfRule type="expression" dxfId="1008" priority="332">
      <formula>AND(COUNT(J132:XEL132)&lt;&gt;0,(P132)="")</formula>
    </cfRule>
  </conditionalFormatting>
  <conditionalFormatting sqref="P135:P142">
    <cfRule type="expression" dxfId="1007" priority="317">
      <formula>AND($AM135&lt;&gt;"",ISBLANK($E135:$AG135))</formula>
    </cfRule>
    <cfRule type="expression" dxfId="1006" priority="316">
      <formula>AND(COUNT(J135:XEL135)&lt;&gt;0,(P135)="")</formula>
    </cfRule>
  </conditionalFormatting>
  <conditionalFormatting sqref="P148:P150">
    <cfRule type="expression" dxfId="1005" priority="311">
      <formula>AND($AM148&lt;&gt;"",ISBLANK($E148:$AG148))</formula>
    </cfRule>
    <cfRule type="expression" dxfId="1004" priority="310">
      <formula>AND(COUNT(J148:XEL148)&lt;&gt;0,(P148)="")</formula>
    </cfRule>
  </conditionalFormatting>
  <conditionalFormatting sqref="P152:P153">
    <cfRule type="expression" dxfId="1003" priority="306">
      <formula>AND(COUNT(J152:XEL152)&lt;&gt;0,(P152)="")</formula>
    </cfRule>
    <cfRule type="expression" dxfId="1002" priority="307">
      <formula>AND($AM152&lt;&gt;"",ISBLANK($E152:$AG152))</formula>
    </cfRule>
  </conditionalFormatting>
  <conditionalFormatting sqref="P155:P162">
    <cfRule type="expression" dxfId="1001" priority="291">
      <formula>AND($AM155&lt;&gt;"",ISBLANK($E155:$AG155))</formula>
    </cfRule>
    <cfRule type="expression" dxfId="1000" priority="290">
      <formula>AND(COUNT(J155:XEL155)&lt;&gt;0,(P155)="")</formula>
    </cfRule>
  </conditionalFormatting>
  <conditionalFormatting sqref="P168:P170">
    <cfRule type="expression" dxfId="999" priority="284">
      <formula>AND($AM168&lt;&gt;"",ISBLANK($E168:$AG168))</formula>
    </cfRule>
    <cfRule type="expression" dxfId="998" priority="283">
      <formula>AND(COUNT(J168:XEL168)&lt;&gt;0,(P168)="")</formula>
    </cfRule>
  </conditionalFormatting>
  <conditionalFormatting sqref="P172:P173">
    <cfRule type="expression" dxfId="997" priority="280">
      <formula>AND($AM172&lt;&gt;"",ISBLANK($E172:$AG172))</formula>
    </cfRule>
    <cfRule type="expression" dxfId="996" priority="279">
      <formula>AND(COUNT(J172:XEL172)&lt;&gt;0,(P172)="")</formula>
    </cfRule>
  </conditionalFormatting>
  <conditionalFormatting sqref="P175:P182">
    <cfRule type="expression" dxfId="995" priority="263">
      <formula>AND(COUNT(J175:XEL175)&lt;&gt;0,(P175)="")</formula>
    </cfRule>
    <cfRule type="expression" dxfId="994" priority="264">
      <formula>AND($AM175&lt;&gt;"",ISBLANK($E175:$AG175))</formula>
    </cfRule>
  </conditionalFormatting>
  <conditionalFormatting sqref="P189:P191">
    <cfRule type="expression" dxfId="993" priority="256">
      <formula>AND(COUNT(J189:XEL189)&lt;&gt;0,(P189)="")</formula>
    </cfRule>
    <cfRule type="expression" dxfId="992" priority="257">
      <formula>AND($AM189&lt;&gt;"",ISBLANK($E189:$AG189))</formula>
    </cfRule>
  </conditionalFormatting>
  <conditionalFormatting sqref="P193:P194">
    <cfRule type="expression" dxfId="991" priority="252">
      <formula>AND(COUNT(J193:XEL193)&lt;&gt;0,(P193)="")</formula>
    </cfRule>
    <cfRule type="expression" dxfId="990" priority="253">
      <formula>AND($AM193&lt;&gt;"",ISBLANK($E193:$AG193))</formula>
    </cfRule>
  </conditionalFormatting>
  <conditionalFormatting sqref="P196:P203">
    <cfRule type="expression" dxfId="989" priority="236">
      <formula>AND(COUNT(J196:XEL196)&lt;&gt;0,(P196)="")</formula>
    </cfRule>
    <cfRule type="expression" dxfId="988" priority="237">
      <formula>AND($AM196&lt;&gt;"",ISBLANK($E196:$AG196))</formula>
    </cfRule>
  </conditionalFormatting>
  <conditionalFormatting sqref="P209:P211">
    <cfRule type="expression" dxfId="987" priority="229">
      <formula>AND(COUNT(J209:XEL209)&lt;&gt;0,(P209)="")</formula>
    </cfRule>
    <cfRule type="expression" dxfId="986" priority="230">
      <formula>AND($AM209&lt;&gt;"",ISBLANK($E209:$AG209))</formula>
    </cfRule>
  </conditionalFormatting>
  <conditionalFormatting sqref="P213:P214">
    <cfRule type="expression" dxfId="985" priority="226">
      <formula>AND($AM213&lt;&gt;"",ISBLANK($E213:$AG213))</formula>
    </cfRule>
    <cfRule type="expression" dxfId="984" priority="225">
      <formula>AND(COUNT(J213:XEL213)&lt;&gt;0,(P213)="")</formula>
    </cfRule>
  </conditionalFormatting>
  <conditionalFormatting sqref="P216:P223">
    <cfRule type="expression" dxfId="983" priority="209">
      <formula>AND(COUNT(J216:XEL216)&lt;&gt;0,(P216)="")</formula>
    </cfRule>
    <cfRule type="expression" dxfId="982" priority="210">
      <formula>AND($AM216&lt;&gt;"",ISBLANK($E216:$AG216))</formula>
    </cfRule>
  </conditionalFormatting>
  <conditionalFormatting sqref="P229:P231">
    <cfRule type="expression" dxfId="981" priority="202">
      <formula>AND(COUNT(J229:XEL229)&lt;&gt;0,(P229)="")</formula>
    </cfRule>
    <cfRule type="expression" dxfId="980" priority="203">
      <formula>AND($AM229&lt;&gt;"",ISBLANK($E229:$AG229))</formula>
    </cfRule>
  </conditionalFormatting>
  <conditionalFormatting sqref="P233:P234">
    <cfRule type="expression" dxfId="979" priority="198">
      <formula>AND(COUNT(J233:XEL233)&lt;&gt;0,(P233)="")</formula>
    </cfRule>
    <cfRule type="expression" dxfId="978" priority="199">
      <formula>AND($AM233&lt;&gt;"",ISBLANK($E233:$AG233))</formula>
    </cfRule>
  </conditionalFormatting>
  <conditionalFormatting sqref="P236:P243">
    <cfRule type="expression" dxfId="977" priority="182">
      <formula>AND(COUNT(J236:XEL236)&lt;&gt;0,(P236)="")</formula>
    </cfRule>
    <cfRule type="expression" dxfId="976" priority="183">
      <formula>AND($AM236&lt;&gt;"",ISBLANK($E236:$AG236))</formula>
    </cfRule>
  </conditionalFormatting>
  <conditionalFormatting sqref="P249:P251">
    <cfRule type="expression" dxfId="975" priority="175">
      <formula>AND(COUNT(J249:XEL249)&lt;&gt;0,(P249)="")</formula>
    </cfRule>
    <cfRule type="expression" dxfId="974" priority="176">
      <formula>AND($AM249&lt;&gt;"",ISBLANK($E249:$AG249))</formula>
    </cfRule>
  </conditionalFormatting>
  <conditionalFormatting sqref="P253:P254">
    <cfRule type="expression" dxfId="973" priority="171">
      <formula>AND(COUNT(J253:XEL253)&lt;&gt;0,(P253)="")</formula>
    </cfRule>
    <cfRule type="expression" dxfId="972" priority="172">
      <formula>AND($AM253&lt;&gt;"",ISBLANK($E253:$AG253))</formula>
    </cfRule>
  </conditionalFormatting>
  <conditionalFormatting sqref="P256:P263">
    <cfRule type="expression" dxfId="971" priority="156">
      <formula>AND($AM256&lt;&gt;"",ISBLANK($E256:$AG256))</formula>
    </cfRule>
    <cfRule type="expression" dxfId="970" priority="155">
      <formula>AND(COUNT(J256:XEL256)&lt;&gt;0,(P256)="")</formula>
    </cfRule>
  </conditionalFormatting>
  <conditionalFormatting sqref="P269:P271">
    <cfRule type="expression" dxfId="969" priority="148">
      <formula>AND(COUNT(J269:XEL269)&lt;&gt;0,(P269)="")</formula>
    </cfRule>
    <cfRule type="expression" dxfId="968" priority="149">
      <formula>AND($AM269&lt;&gt;"",ISBLANK($E269:$AG269))</formula>
    </cfRule>
  </conditionalFormatting>
  <conditionalFormatting sqref="P273:P274">
    <cfRule type="expression" dxfId="967" priority="145">
      <formula>AND($AM273&lt;&gt;"",ISBLANK($E273:$AG273))</formula>
    </cfRule>
    <cfRule type="expression" dxfId="966" priority="144">
      <formula>AND(COUNT(J273:XEL273)&lt;&gt;0,(P273)="")</formula>
    </cfRule>
  </conditionalFormatting>
  <conditionalFormatting sqref="P276:P283">
    <cfRule type="expression" dxfId="965" priority="129">
      <formula>AND($AM276&lt;&gt;"",ISBLANK($E276:$AG276))</formula>
    </cfRule>
    <cfRule type="expression" dxfId="964" priority="128">
      <formula>AND(COUNT(J276:XEL276)&lt;&gt;0,(P276)="")</formula>
    </cfRule>
  </conditionalFormatting>
  <conditionalFormatting sqref="P289:P291">
    <cfRule type="expression" dxfId="963" priority="121">
      <formula>AND(COUNT(J289:XEL289)&lt;&gt;0,(P289)="")</formula>
    </cfRule>
    <cfRule type="expression" dxfId="962" priority="122">
      <formula>AND($AM289&lt;&gt;"",ISBLANK($E289:$AG289))</formula>
    </cfRule>
  </conditionalFormatting>
  <conditionalFormatting sqref="P293:P294">
    <cfRule type="expression" dxfId="961" priority="118">
      <formula>AND($AM293&lt;&gt;"",ISBLANK($E293:$AG293))</formula>
    </cfRule>
    <cfRule type="expression" dxfId="960" priority="117">
      <formula>AND(COUNT(J293:XEL293)&lt;&gt;0,(P293)="")</formula>
    </cfRule>
  </conditionalFormatting>
  <conditionalFormatting sqref="P296:P303">
    <cfRule type="expression" dxfId="959" priority="101">
      <formula>AND(COUNT(J296:XEL296)&lt;&gt;0,(P296)="")</formula>
    </cfRule>
    <cfRule type="expression" dxfId="958" priority="102">
      <formula>AND($AM296&lt;&gt;"",ISBLANK($E296:$AG296))</formula>
    </cfRule>
  </conditionalFormatting>
  <conditionalFormatting sqref="P309:P311">
    <cfRule type="expression" dxfId="957" priority="95">
      <formula>AND($AM309&lt;&gt;"",ISBLANK($E309:$AG309))</formula>
    </cfRule>
    <cfRule type="expression" dxfId="956" priority="94">
      <formula>AND(COUNT(J309:XEL309)&lt;&gt;0,(P309)="")</formula>
    </cfRule>
  </conditionalFormatting>
  <conditionalFormatting sqref="P313:P314">
    <cfRule type="expression" dxfId="955" priority="91">
      <formula>AND($AM313&lt;&gt;"",ISBLANK($E313:$AG313))</formula>
    </cfRule>
    <cfRule type="expression" dxfId="954" priority="90">
      <formula>AND(COUNT(J313:XEL313)&lt;&gt;0,(P313)="")</formula>
    </cfRule>
  </conditionalFormatting>
  <conditionalFormatting sqref="P316:P323">
    <cfRule type="expression" dxfId="953" priority="75">
      <formula>AND($AM316&lt;&gt;"",ISBLANK($E316:$AG316))</formula>
    </cfRule>
    <cfRule type="expression" dxfId="952" priority="74">
      <formula>AND(COUNT(J316:XEL316)&lt;&gt;0,(P316)="")</formula>
    </cfRule>
  </conditionalFormatting>
  <conditionalFormatting sqref="P328:P330 P332:P333 P335:P342">
    <cfRule type="expression" dxfId="951" priority="423">
      <formula>AND(COUNT(J328:XEL328)&lt;&gt;0,(P328)="")</formula>
    </cfRule>
    <cfRule type="expression" dxfId="950" priority="368">
      <formula>AND($AM328&lt;&gt;"",ISBLANK($E328:$AG328))</formula>
    </cfRule>
  </conditionalFormatting>
  <conditionalFormatting sqref="P351:P353 P355:P356 P358:P365">
    <cfRule type="expression" dxfId="949" priority="71">
      <formula>AND(COUNT(J351:XEL351)&lt;&gt;0,(P351)="")</formula>
    </cfRule>
    <cfRule type="expression" dxfId="948" priority="70">
      <formula>AND($AM351&lt;&gt;"",ISBLANK($E351:$AG351))</formula>
    </cfRule>
  </conditionalFormatting>
  <conditionalFormatting sqref="P376:P381">
    <cfRule type="expression" dxfId="947" priority="26">
      <formula>AND($AM376&lt;&gt;"",ISBLANK($E376:$AG376))</formula>
    </cfRule>
    <cfRule type="expression" dxfId="946" priority="27">
      <formula>AND(COUNT(J376:XEL376)&lt;&gt;0,(P376)="")</formula>
    </cfRule>
  </conditionalFormatting>
  <conditionalFormatting sqref="P383:P390">
    <cfRule type="expression" dxfId="945" priority="63">
      <formula>AND(COUNT(J383:XEL383)&lt;&gt;0,(P383)="")</formula>
    </cfRule>
    <cfRule type="expression" dxfId="944" priority="62">
      <formula>AND($AM383&lt;&gt;"",ISBLANK($E383:$AG383))</formula>
    </cfRule>
  </conditionalFormatting>
  <conditionalFormatting sqref="P399:P414">
    <cfRule type="expression" dxfId="943" priority="57">
      <formula>AND($AM399&lt;&gt;"",ISBLANK($E399:$AG399))</formula>
    </cfRule>
    <cfRule type="expression" dxfId="942" priority="56">
      <formula>AND(COUNT(J399:XEL399)&lt;&gt;0,(P399)="")</formula>
    </cfRule>
  </conditionalFormatting>
  <dataValidations count="7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9:O23 O27:O29 O36:O50 L47:L48 O55:O57 O65:O78 O83:O86 O95:O101 P96 P108:P110 P112:P113 P115:P122 P128:P130 P132:P133 P135:P142 P148:P150 P152:P153 P155:P162 P168:P170 P172:P173 P175:P182 P189:P191 P193:P194 P196:P203 P209:P211 P213:P214 P216:P223 P229:P231 P233:P234 P236:P243 P249:P251 P253:P254 P256:P263 P269:P271 P273:P274 P276:P283 P289:P291 P293:P294 P296:P303 P309:P311 P313:P314 P316:P323 P328:P330 P332:P333 P335:P342 P351:P353 P355:P356 P358:P365 P376:P381 P383:P390 O399:O414" xr:uid="{F911D84D-5F82-4D82-B5B9-46B3579C66F0}">
      <formula1>AND(LEN(L9)&lt;21,ISERROR(SEARCH("&amp;",L9))=TRUE,ISERROR(SEARCH(" ",L9))=TRUE,ISERROR(SEARCH("/",L9))=TRUE,ISERROR(SEARCH(";",L9))=TRUE,ISERROR(SEARCH("=",L9))=TRUE,ISERROR(SEARCH("'",L9))=TRUE)</formula1>
    </dataValidation>
    <dataValidation type="custom" allowBlank="1" showInputMessage="1" showErrorMessage="1" error="Invalid source name, please refer to the guidelines" sqref="O7:O8" xr:uid="{7C07EE74-E291-4A51-A092-9AEA22EC3B28}">
      <formula1>AND(LEN(O5)&lt;21,ISERROR(SEARCH("&amp;",O5))=TRUE,ISERROR(SEARCH(" ",O5))=TRUE,ISERROR(SEARCH(",",O5))=TRUE,ISERROR(SEARCH(";",O5))=TRUE,ISERROR(SEARCH("=",O5))=TRUE,ISERROR(SEARCH("'",O5))=TRUE)</formula1>
    </dataValidation>
    <dataValidation type="decimal" operator="greaterThanOrEqual" allowBlank="1" showInputMessage="1" showErrorMessage="1" error="The value must be positive" sqref="G56:H57 C447:N449 C429:N444" xr:uid="{3A894BBB-A67A-4C6E-A569-FEF1349ADE58}">
      <formula1>0</formula1>
    </dataValidation>
    <dataValidation type="decimal" operator="greaterThan" allowBlank="1" showInputMessage="1" showErrorMessage="1" error="The value must be positive" sqref="C450:N450" xr:uid="{A782AB35-49A1-43CE-B2C9-36E0AECF6690}">
      <formula1>0</formula1>
    </dataValidation>
    <dataValidation type="decimal" operator="greaterThanOrEqual" allowBlank="1" showInputMessage="1" showErrorMessage="1" sqref="O479:P483 P461:P476 O462:O476 C486:N504" xr:uid="{B221281D-A6FD-4858-8260-0B6235504663}">
      <formula1>0</formula1>
    </dataValidation>
    <dataValidation operator="greaterThan" allowBlank="1" showInputMessage="1" showErrorMessage="1" error="The value must be positive" sqref="O477:P477" xr:uid="{47C252AF-7CFD-4E7E-B0D0-22915F545732}"/>
    <dataValidation type="custom" allowBlank="1" showInputMessage="1" showErrorMessage="1" error="Invalid source name, please refer to the guidelines" sqref="O2:O6" xr:uid="{5D6CBF2E-3485-4CD3-91D9-4331A9C45AA3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hyperlinks>
    <hyperlink ref="P399" r:id="rId1" xr:uid="{373ED6FA-65FB-4308-8F34-65FABED59A3C}"/>
    <hyperlink ref="P400:P414" r:id="rId2" display="https://www.knc.ee/et/tegevusandmed" xr:uid="{A8C84837-6267-4EBB-9A83-F0D781398526}"/>
  </hyperlinks>
  <pageMargins left="0.7" right="0.7" top="0.75" bottom="0.75" header="0.3" footer="0.3"/>
  <pageSetup paperSize="9" orientation="portrait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4CA3-B144-4D42-8701-52BC0502B3E5}">
  <sheetPr>
    <tabColor rgb="FF7030A0"/>
  </sheetPr>
  <dimension ref="A2:Q368"/>
  <sheetViews>
    <sheetView zoomScale="90" zoomScaleNormal="90" workbookViewId="0">
      <pane xSplit="2" ySplit="2" topLeftCell="D43" activePane="bottomRight" state="frozen"/>
      <selection pane="topRight" activeCell="C1" sqref="C1"/>
      <selection pane="bottomLeft" activeCell="A3" sqref="A3"/>
      <selection pane="bottomRight" activeCell="A48" sqref="A48"/>
    </sheetView>
  </sheetViews>
  <sheetFormatPr defaultRowHeight="14.4" x14ac:dyDescent="0.3"/>
  <cols>
    <col min="1" max="1" width="54.44140625" customWidth="1"/>
    <col min="2" max="2" width="11.109375" customWidth="1"/>
    <col min="3" max="3" width="9.5546875" customWidth="1"/>
    <col min="4" max="4" width="9.44140625" customWidth="1"/>
    <col min="15" max="15" width="11.88671875" customWidth="1"/>
    <col min="16" max="16" width="38" customWidth="1"/>
  </cols>
  <sheetData>
    <row r="2" spans="1:16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" x14ac:dyDescent="0.3">
      <c r="A5" s="2" t="s">
        <v>645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6" x14ac:dyDescent="0.3">
      <c r="A7" s="8" t="s">
        <v>646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x14ac:dyDescent="0.3">
      <c r="A8" s="47" t="s">
        <v>647</v>
      </c>
      <c r="B8" s="195" t="s">
        <v>84</v>
      </c>
      <c r="C8" s="106">
        <f>C9+C10+C11</f>
        <v>552.70000000000005</v>
      </c>
      <c r="D8" s="106">
        <f t="shared" ref="D8:N8" si="0">D9+D10+D11</f>
        <v>574</v>
      </c>
      <c r="E8" s="106">
        <f t="shared" si="0"/>
        <v>602.1</v>
      </c>
      <c r="F8" s="106">
        <f t="shared" si="0"/>
        <v>628.5</v>
      </c>
      <c r="G8" s="106">
        <f t="shared" si="0"/>
        <v>653</v>
      </c>
      <c r="H8" s="106">
        <f t="shared" si="0"/>
        <v>676.6</v>
      </c>
      <c r="I8" s="106">
        <f t="shared" si="0"/>
        <v>703.1</v>
      </c>
      <c r="J8" s="106">
        <f t="shared" si="0"/>
        <v>725.9</v>
      </c>
      <c r="K8" s="106">
        <f t="shared" si="0"/>
        <v>746.5</v>
      </c>
      <c r="L8" s="106">
        <f t="shared" si="0"/>
        <v>794.9</v>
      </c>
      <c r="M8" s="106">
        <f t="shared" si="0"/>
        <v>808.7</v>
      </c>
      <c r="N8" s="106">
        <f t="shared" si="0"/>
        <v>825.90000000000009</v>
      </c>
      <c r="O8" s="18" t="s">
        <v>648</v>
      </c>
      <c r="P8" s="136" t="s">
        <v>649</v>
      </c>
    </row>
    <row r="9" spans="1:16" ht="15.6" x14ac:dyDescent="0.3">
      <c r="A9" s="49" t="s">
        <v>650</v>
      </c>
      <c r="B9" s="196" t="s">
        <v>84</v>
      </c>
      <c r="C9" s="44">
        <v>37</v>
      </c>
      <c r="D9" s="44">
        <v>37.5</v>
      </c>
      <c r="E9" s="44">
        <v>38.799999999999997</v>
      </c>
      <c r="F9" s="44">
        <v>40.200000000000003</v>
      </c>
      <c r="G9" s="44">
        <v>43</v>
      </c>
      <c r="H9" s="44">
        <v>45.9</v>
      </c>
      <c r="I9" s="44">
        <v>49.6</v>
      </c>
      <c r="J9" s="44">
        <v>53</v>
      </c>
      <c r="K9" s="44">
        <v>56</v>
      </c>
      <c r="L9" s="44">
        <v>60.9</v>
      </c>
      <c r="M9" s="44">
        <v>63.3</v>
      </c>
      <c r="N9" s="44">
        <v>66.7</v>
      </c>
      <c r="O9" s="18" t="s">
        <v>15</v>
      </c>
      <c r="P9" s="78"/>
    </row>
    <row r="10" spans="1:16" ht="15.6" x14ac:dyDescent="0.3">
      <c r="A10" s="49" t="s">
        <v>651</v>
      </c>
      <c r="B10" s="22" t="s">
        <v>84</v>
      </c>
      <c r="C10" s="44">
        <v>380</v>
      </c>
      <c r="D10" s="44">
        <v>391</v>
      </c>
      <c r="E10" s="44">
        <v>405.8</v>
      </c>
      <c r="F10" s="44">
        <v>419.1</v>
      </c>
      <c r="G10" s="44">
        <v>430.3</v>
      </c>
      <c r="H10" s="44">
        <v>442.3</v>
      </c>
      <c r="I10" s="44">
        <v>456</v>
      </c>
      <c r="J10" s="44">
        <v>467.3</v>
      </c>
      <c r="K10" s="44">
        <v>477.1</v>
      </c>
      <c r="L10" s="44">
        <v>505.9</v>
      </c>
      <c r="M10" s="44">
        <v>512.1</v>
      </c>
      <c r="N10" s="44">
        <v>519.1</v>
      </c>
      <c r="O10" s="18" t="s">
        <v>15</v>
      </c>
      <c r="P10" s="78"/>
    </row>
    <row r="11" spans="1:16" ht="15.6" x14ac:dyDescent="0.3">
      <c r="A11" s="49" t="s">
        <v>652</v>
      </c>
      <c r="B11" s="22" t="s">
        <v>84</v>
      </c>
      <c r="C11" s="44">
        <v>135.69999999999999</v>
      </c>
      <c r="D11" s="44">
        <v>145.5</v>
      </c>
      <c r="E11" s="44">
        <v>157.5</v>
      </c>
      <c r="F11" s="44">
        <v>169.2</v>
      </c>
      <c r="G11" s="44">
        <v>179.7</v>
      </c>
      <c r="H11" s="44">
        <v>188.4</v>
      </c>
      <c r="I11" s="44">
        <v>197.5</v>
      </c>
      <c r="J11" s="44">
        <v>205.6</v>
      </c>
      <c r="K11" s="44">
        <v>213.4</v>
      </c>
      <c r="L11" s="44">
        <v>228.1</v>
      </c>
      <c r="M11" s="44">
        <v>233.3</v>
      </c>
      <c r="N11" s="44">
        <v>240.1</v>
      </c>
      <c r="O11" s="18" t="s">
        <v>15</v>
      </c>
      <c r="P11" s="78"/>
    </row>
    <row r="12" spans="1:16" ht="15.6" x14ac:dyDescent="0.3">
      <c r="A12" s="131" t="s">
        <v>102</v>
      </c>
      <c r="B12" s="99" t="s">
        <v>103</v>
      </c>
      <c r="C12" s="87">
        <f>IFERROR(SUM(C9:C11)/C8,"")</f>
        <v>1</v>
      </c>
      <c r="D12" s="87">
        <f t="shared" ref="D12:N12" si="1">IFERROR(SUM(D9:D11)/D8,"")</f>
        <v>1</v>
      </c>
      <c r="E12" s="87">
        <f t="shared" si="1"/>
        <v>1</v>
      </c>
      <c r="F12" s="87">
        <f t="shared" si="1"/>
        <v>1</v>
      </c>
      <c r="G12" s="87">
        <f t="shared" si="1"/>
        <v>1</v>
      </c>
      <c r="H12" s="87">
        <f t="shared" si="1"/>
        <v>1</v>
      </c>
      <c r="I12" s="87">
        <f t="shared" si="1"/>
        <v>1</v>
      </c>
      <c r="J12" s="87">
        <f t="shared" si="1"/>
        <v>1</v>
      </c>
      <c r="K12" s="87">
        <f t="shared" si="1"/>
        <v>1</v>
      </c>
      <c r="L12" s="87">
        <f t="shared" si="1"/>
        <v>1</v>
      </c>
      <c r="M12" s="87">
        <f t="shared" si="1"/>
        <v>1</v>
      </c>
      <c r="N12" s="87">
        <f t="shared" si="1"/>
        <v>1</v>
      </c>
      <c r="O12" s="78"/>
      <c r="P12" s="78"/>
    </row>
    <row r="13" spans="1:16" ht="15.6" x14ac:dyDescent="0.3">
      <c r="A13" s="78"/>
      <c r="B13" s="4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5.6" x14ac:dyDescent="0.3">
      <c r="A14" s="49" t="s">
        <v>653</v>
      </c>
      <c r="B14" s="22" t="s">
        <v>84</v>
      </c>
      <c r="C14" s="44">
        <v>415.57799999999997</v>
      </c>
      <c r="D14" s="44">
        <v>420</v>
      </c>
      <c r="E14" s="44">
        <v>424.3</v>
      </c>
      <c r="F14" s="44">
        <v>426.4</v>
      </c>
      <c r="G14" s="44">
        <v>429</v>
      </c>
      <c r="H14" s="44">
        <v>434.1</v>
      </c>
      <c r="I14" s="44">
        <v>443.1</v>
      </c>
      <c r="J14" s="44">
        <v>449.3</v>
      </c>
      <c r="K14" s="44">
        <v>453</v>
      </c>
      <c r="L14" s="44">
        <v>477.2</v>
      </c>
      <c r="M14" s="44">
        <v>478.1</v>
      </c>
      <c r="N14" s="44">
        <v>480.3</v>
      </c>
      <c r="O14" s="78"/>
      <c r="P14" s="78"/>
    </row>
    <row r="15" spans="1:16" ht="15.6" x14ac:dyDescent="0.3">
      <c r="A15" s="49" t="s">
        <v>654</v>
      </c>
      <c r="B15" s="22" t="s">
        <v>84</v>
      </c>
      <c r="C15" s="44">
        <v>137.08199999999999</v>
      </c>
      <c r="D15" s="44">
        <v>154</v>
      </c>
      <c r="E15" s="44">
        <v>177.2</v>
      </c>
      <c r="F15" s="44">
        <v>201.3</v>
      </c>
      <c r="G15" s="44">
        <v>222.7</v>
      </c>
      <c r="H15" s="44">
        <v>241</v>
      </c>
      <c r="I15" s="44">
        <v>258.39999999999998</v>
      </c>
      <c r="J15" s="44">
        <v>274.8</v>
      </c>
      <c r="K15" s="44">
        <v>291.60000000000002</v>
      </c>
      <c r="L15" s="44">
        <v>315</v>
      </c>
      <c r="M15" s="44">
        <v>326.7</v>
      </c>
      <c r="N15" s="44">
        <v>340.6</v>
      </c>
      <c r="O15" s="78"/>
      <c r="P15" s="78"/>
    </row>
    <row r="16" spans="1:16" ht="15.6" x14ac:dyDescent="0.3">
      <c r="A16" s="49" t="s">
        <v>655</v>
      </c>
      <c r="B16" s="22" t="s">
        <v>84</v>
      </c>
      <c r="C16" s="44">
        <v>1.9E-2</v>
      </c>
      <c r="D16" s="44">
        <v>0</v>
      </c>
      <c r="E16" s="44">
        <v>0</v>
      </c>
      <c r="F16" s="44">
        <v>0.1</v>
      </c>
      <c r="G16" s="44">
        <v>0.23</v>
      </c>
      <c r="H16" s="44">
        <v>0.4</v>
      </c>
      <c r="I16" s="44">
        <v>0.4</v>
      </c>
      <c r="J16" s="44">
        <v>0.6</v>
      </c>
      <c r="K16" s="44">
        <v>0.6</v>
      </c>
      <c r="L16" s="44">
        <v>1.3</v>
      </c>
      <c r="M16" s="44">
        <v>2.1</v>
      </c>
      <c r="N16" s="44">
        <v>2.6</v>
      </c>
      <c r="O16" s="78"/>
      <c r="P16" s="78"/>
    </row>
    <row r="17" spans="1:16" ht="15.6" x14ac:dyDescent="0.3">
      <c r="A17" s="49" t="s">
        <v>656</v>
      </c>
      <c r="B17" s="22" t="s">
        <v>84</v>
      </c>
      <c r="C17" s="101"/>
      <c r="D17" s="101"/>
      <c r="E17" s="101"/>
      <c r="F17" s="101"/>
      <c r="G17" s="101"/>
      <c r="H17" s="101"/>
      <c r="I17" s="101"/>
      <c r="J17" s="104"/>
      <c r="K17" s="104"/>
      <c r="L17" s="104"/>
      <c r="M17" s="104"/>
      <c r="N17" s="104"/>
      <c r="O17" s="78"/>
      <c r="P17" s="78"/>
    </row>
    <row r="18" spans="1:16" ht="15.6" x14ac:dyDescent="0.3">
      <c r="A18" s="49" t="s">
        <v>657</v>
      </c>
      <c r="B18" s="22" t="s">
        <v>84</v>
      </c>
      <c r="C18" s="44">
        <v>5.0000000000000001E-3</v>
      </c>
      <c r="D18" s="44">
        <v>0</v>
      </c>
      <c r="E18" s="44">
        <v>0.6</v>
      </c>
      <c r="F18" s="44">
        <v>0.7</v>
      </c>
      <c r="G18" s="44">
        <v>1.07</v>
      </c>
      <c r="H18" s="44">
        <v>1.1000000000000001</v>
      </c>
      <c r="I18" s="44">
        <v>1.2</v>
      </c>
      <c r="J18" s="44">
        <v>1.2</v>
      </c>
      <c r="K18" s="44">
        <v>1.3</v>
      </c>
      <c r="L18" s="44">
        <v>1.3836646761106499</v>
      </c>
      <c r="M18" s="44">
        <v>1.8</v>
      </c>
      <c r="N18" s="44">
        <v>2.4</v>
      </c>
      <c r="O18" s="78"/>
      <c r="P18" s="78"/>
    </row>
    <row r="19" spans="1:16" ht="15.6" x14ac:dyDescent="0.3">
      <c r="A19" s="49" t="s">
        <v>658</v>
      </c>
      <c r="B19" s="22" t="s">
        <v>84</v>
      </c>
      <c r="C19" s="44">
        <v>0</v>
      </c>
      <c r="D19" s="44">
        <v>0</v>
      </c>
      <c r="E19" s="44">
        <v>0</v>
      </c>
      <c r="F19" s="44">
        <v>0.2</v>
      </c>
      <c r="G19" s="44">
        <v>0.3</v>
      </c>
      <c r="H19" s="44">
        <v>0.4</v>
      </c>
      <c r="I19" s="44">
        <v>0.8</v>
      </c>
      <c r="J19" s="44">
        <v>1.2</v>
      </c>
      <c r="K19" s="44">
        <v>1.6</v>
      </c>
      <c r="L19" s="44">
        <v>2.7</v>
      </c>
      <c r="M19" s="44">
        <v>2.8</v>
      </c>
      <c r="N19" s="44">
        <v>6.6</v>
      </c>
      <c r="O19" s="78"/>
      <c r="P19" s="78"/>
    </row>
    <row r="20" spans="1:16" ht="15.6" x14ac:dyDescent="0.3">
      <c r="A20" s="131" t="s">
        <v>102</v>
      </c>
      <c r="B20" s="99" t="s">
        <v>103</v>
      </c>
      <c r="C20" s="87">
        <f t="shared" ref="C20:N20" si="2">IFERROR(SUM(C14:C19)/C8,"")</f>
        <v>0.99997105120318419</v>
      </c>
      <c r="D20" s="87">
        <f t="shared" si="2"/>
        <v>1</v>
      </c>
      <c r="E20" s="87">
        <f t="shared" si="2"/>
        <v>1</v>
      </c>
      <c r="F20" s="87">
        <f t="shared" si="2"/>
        <v>1.0003182179793162</v>
      </c>
      <c r="G20" s="87">
        <f t="shared" si="2"/>
        <v>1.0004594180704443</v>
      </c>
      <c r="H20" s="87">
        <f t="shared" si="2"/>
        <v>1.0005911912503695</v>
      </c>
      <c r="I20" s="87">
        <f t="shared" si="2"/>
        <v>1.0011378182335371</v>
      </c>
      <c r="J20" s="87">
        <f t="shared" si="2"/>
        <v>1.0016531202644994</v>
      </c>
      <c r="K20" s="87">
        <f t="shared" si="2"/>
        <v>1.0021433355659746</v>
      </c>
      <c r="L20" s="87">
        <f t="shared" si="2"/>
        <v>1.0033761035049826</v>
      </c>
      <c r="M20" s="87">
        <f t="shared" si="2"/>
        <v>1.0034623469766291</v>
      </c>
      <c r="N20" s="87">
        <f t="shared" si="2"/>
        <v>1.007991282237559</v>
      </c>
      <c r="O20" s="78"/>
      <c r="P20" s="78"/>
    </row>
    <row r="21" spans="1:16" ht="15.6" x14ac:dyDescent="0.3">
      <c r="A21" s="49"/>
      <c r="B21" s="9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15.6" x14ac:dyDescent="0.3">
      <c r="A22" s="47" t="s">
        <v>659</v>
      </c>
      <c r="B22" s="132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5.6" x14ac:dyDescent="0.3">
      <c r="A23" s="47" t="s">
        <v>660</v>
      </c>
      <c r="B23" s="195" t="s">
        <v>84</v>
      </c>
      <c r="C23" s="106">
        <v>10.294</v>
      </c>
      <c r="D23" s="106">
        <v>17</v>
      </c>
      <c r="E23" s="106">
        <v>19.399999999999999</v>
      </c>
      <c r="F23" s="106">
        <v>19.7</v>
      </c>
      <c r="G23" s="106">
        <v>21.1</v>
      </c>
      <c r="H23" s="106">
        <v>21.064</v>
      </c>
      <c r="I23" s="106">
        <v>23</v>
      </c>
      <c r="J23" s="106">
        <v>25.623000000000001</v>
      </c>
      <c r="K23" s="106">
        <v>26.3</v>
      </c>
      <c r="L23" s="106">
        <v>27.584</v>
      </c>
      <c r="M23" s="106">
        <v>19.3</v>
      </c>
      <c r="N23" s="106">
        <v>22.6</v>
      </c>
      <c r="O23" s="18" t="s">
        <v>15</v>
      </c>
      <c r="P23" s="78"/>
    </row>
    <row r="24" spans="1:16" ht="15.6" x14ac:dyDescent="0.3">
      <c r="A24" s="49" t="s">
        <v>661</v>
      </c>
      <c r="B24" s="22" t="s">
        <v>103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8"/>
      <c r="P24" s="78"/>
    </row>
    <row r="25" spans="1:16" ht="15.6" x14ac:dyDescent="0.3">
      <c r="A25" s="49" t="s">
        <v>662</v>
      </c>
      <c r="B25" s="22" t="s">
        <v>103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8"/>
      <c r="P25" s="78"/>
    </row>
    <row r="26" spans="1:16" ht="15.6" x14ac:dyDescent="0.3">
      <c r="A26" s="49" t="s">
        <v>663</v>
      </c>
      <c r="B26" s="22" t="s">
        <v>103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78"/>
      <c r="P26" s="78"/>
    </row>
    <row r="27" spans="1:16" ht="15.6" x14ac:dyDescent="0.3">
      <c r="A27" s="49" t="s">
        <v>664</v>
      </c>
      <c r="B27" s="22" t="s">
        <v>84</v>
      </c>
      <c r="C27" s="44">
        <v>0.9</v>
      </c>
      <c r="D27" s="44">
        <v>1.8</v>
      </c>
      <c r="E27" s="44">
        <v>2.5</v>
      </c>
      <c r="F27" s="44">
        <v>2.2999999999999998</v>
      </c>
      <c r="G27" s="44">
        <v>3.8</v>
      </c>
      <c r="H27" s="44">
        <v>4.2</v>
      </c>
      <c r="I27" s="44">
        <v>4.9000000000000004</v>
      </c>
      <c r="J27" s="44">
        <v>3.5298250447720076</v>
      </c>
      <c r="K27" s="44">
        <v>3.523107836570663</v>
      </c>
      <c r="L27" s="44">
        <v>6.2</v>
      </c>
      <c r="M27" s="44">
        <v>4.5</v>
      </c>
      <c r="N27" s="44">
        <v>5.4</v>
      </c>
      <c r="O27" s="18" t="s">
        <v>15</v>
      </c>
      <c r="P27" s="78"/>
    </row>
    <row r="28" spans="1:16" ht="15.6" x14ac:dyDescent="0.3">
      <c r="A28" s="49" t="s">
        <v>665</v>
      </c>
      <c r="B28" s="22" t="s">
        <v>84</v>
      </c>
      <c r="C28" s="44">
        <v>8</v>
      </c>
      <c r="D28" s="44">
        <v>12.8</v>
      </c>
      <c r="E28" s="44">
        <v>14.3</v>
      </c>
      <c r="F28" s="44">
        <v>14.999999999999998</v>
      </c>
      <c r="G28" s="44">
        <v>14.5</v>
      </c>
      <c r="H28" s="44">
        <v>14.7</v>
      </c>
      <c r="I28" s="44">
        <v>15.6</v>
      </c>
      <c r="J28" s="44">
        <v>5.7</v>
      </c>
      <c r="K28" s="44">
        <v>6.3</v>
      </c>
      <c r="L28" s="44">
        <v>18.600000000000001</v>
      </c>
      <c r="M28" s="44">
        <v>12.8</v>
      </c>
      <c r="N28" s="44">
        <v>14.3</v>
      </c>
      <c r="O28" s="18" t="s">
        <v>15</v>
      </c>
      <c r="P28" s="78"/>
    </row>
    <row r="29" spans="1:16" ht="15.6" x14ac:dyDescent="0.3">
      <c r="A29" s="49" t="s">
        <v>666</v>
      </c>
      <c r="B29" s="22" t="s">
        <v>84</v>
      </c>
      <c r="C29" s="44">
        <v>1.4</v>
      </c>
      <c r="D29" s="44">
        <v>2.4</v>
      </c>
      <c r="E29" s="44">
        <v>2.6</v>
      </c>
      <c r="F29" s="44">
        <v>2.4</v>
      </c>
      <c r="G29" s="44">
        <v>2.8</v>
      </c>
      <c r="H29" s="44">
        <v>2.2000000000000002</v>
      </c>
      <c r="I29" s="44">
        <v>2.5</v>
      </c>
      <c r="J29" s="44">
        <v>16.399999999999999</v>
      </c>
      <c r="K29" s="44">
        <v>16.5</v>
      </c>
      <c r="L29" s="44">
        <v>2.8</v>
      </c>
      <c r="M29" s="44">
        <v>2</v>
      </c>
      <c r="N29" s="44">
        <v>2.9</v>
      </c>
      <c r="O29" s="18" t="s">
        <v>15</v>
      </c>
      <c r="P29" s="78"/>
    </row>
    <row r="30" spans="1:16" ht="15.6" x14ac:dyDescent="0.3">
      <c r="A30" s="131" t="s">
        <v>102</v>
      </c>
      <c r="B30" s="99" t="s">
        <v>103</v>
      </c>
      <c r="C30" s="87">
        <f>IFERROR(SUM(C27:C29)/C23,"")</f>
        <v>1.0005828638041578</v>
      </c>
      <c r="D30" s="87">
        <f t="shared" ref="D30:N30" si="3">IFERROR(SUM(D27:D29)/D23,"")</f>
        <v>1</v>
      </c>
      <c r="E30" s="87">
        <f t="shared" si="3"/>
        <v>1.0000000000000002</v>
      </c>
      <c r="F30" s="87">
        <f t="shared" si="3"/>
        <v>0.99999999999999978</v>
      </c>
      <c r="G30" s="87">
        <f t="shared" si="3"/>
        <v>1</v>
      </c>
      <c r="H30" s="87">
        <f t="shared" si="3"/>
        <v>1.0017090770983668</v>
      </c>
      <c r="I30" s="87">
        <f t="shared" si="3"/>
        <v>1</v>
      </c>
      <c r="J30" s="87">
        <f t="shared" si="3"/>
        <v>1.0002663640000002</v>
      </c>
      <c r="K30" s="87">
        <f t="shared" si="3"/>
        <v>1.000878624964664</v>
      </c>
      <c r="L30" s="87">
        <f t="shared" si="3"/>
        <v>1.0005800464037125</v>
      </c>
      <c r="M30" s="87">
        <f t="shared" si="3"/>
        <v>1</v>
      </c>
      <c r="N30" s="87">
        <f t="shared" si="3"/>
        <v>1</v>
      </c>
      <c r="O30" s="78"/>
      <c r="P30" s="78"/>
    </row>
    <row r="31" spans="1:16" ht="15.6" x14ac:dyDescent="0.3">
      <c r="A31" s="96"/>
      <c r="B31" s="96"/>
      <c r="O31" s="78"/>
      <c r="P31" s="78"/>
    </row>
    <row r="32" spans="1:16" ht="15.6" x14ac:dyDescent="0.3">
      <c r="A32" s="133" t="s">
        <v>667</v>
      </c>
      <c r="B32" s="197" t="s">
        <v>84</v>
      </c>
      <c r="C32" s="44">
        <v>6.9</v>
      </c>
      <c r="D32" s="44">
        <v>11.4</v>
      </c>
      <c r="E32" s="44">
        <v>12</v>
      </c>
      <c r="F32" s="44">
        <v>12</v>
      </c>
      <c r="G32" s="44">
        <v>12.8</v>
      </c>
      <c r="H32" s="44">
        <v>13.7</v>
      </c>
      <c r="I32" s="44">
        <v>15.8</v>
      </c>
      <c r="J32" s="44">
        <v>18</v>
      </c>
      <c r="K32" s="44">
        <v>18.100000000000001</v>
      </c>
      <c r="L32" s="44">
        <v>18</v>
      </c>
      <c r="M32" s="44">
        <v>10.6</v>
      </c>
      <c r="N32" s="44">
        <v>10.8</v>
      </c>
      <c r="O32" s="18" t="s">
        <v>15</v>
      </c>
      <c r="P32" s="78"/>
    </row>
    <row r="33" spans="1:16" ht="15.6" x14ac:dyDescent="0.3">
      <c r="A33" s="49" t="s">
        <v>668</v>
      </c>
      <c r="B33" s="198" t="s">
        <v>84</v>
      </c>
      <c r="C33" s="44">
        <v>3.4</v>
      </c>
      <c r="D33" s="44">
        <v>5.6</v>
      </c>
      <c r="E33" s="44">
        <v>6.9</v>
      </c>
      <c r="F33" s="44">
        <v>7.4</v>
      </c>
      <c r="G33" s="44">
        <v>7.7</v>
      </c>
      <c r="H33" s="44">
        <v>7</v>
      </c>
      <c r="I33" s="44">
        <v>6.4</v>
      </c>
      <c r="J33" s="44">
        <v>6.4</v>
      </c>
      <c r="K33" s="44">
        <v>6.5</v>
      </c>
      <c r="L33" s="44">
        <v>6.2</v>
      </c>
      <c r="M33" s="44">
        <v>4.9000000000000004</v>
      </c>
      <c r="N33" s="44">
        <v>4.2</v>
      </c>
      <c r="O33" s="18" t="s">
        <v>15</v>
      </c>
      <c r="P33" s="78"/>
    </row>
    <row r="34" spans="1:16" ht="15.6" x14ac:dyDescent="0.3">
      <c r="A34" s="49" t="s">
        <v>669</v>
      </c>
      <c r="B34" s="198" t="s">
        <v>84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0.01</v>
      </c>
      <c r="I34" s="44">
        <v>0</v>
      </c>
      <c r="J34" s="44">
        <v>0</v>
      </c>
      <c r="K34" s="44">
        <v>0</v>
      </c>
      <c r="L34" s="44">
        <v>0.6</v>
      </c>
      <c r="M34" s="44">
        <v>0.7</v>
      </c>
      <c r="N34" s="44">
        <v>0.5</v>
      </c>
      <c r="O34" s="18" t="s">
        <v>15</v>
      </c>
      <c r="P34" s="78"/>
    </row>
    <row r="35" spans="1:16" ht="15.6" x14ac:dyDescent="0.3">
      <c r="A35" s="49" t="s">
        <v>670</v>
      </c>
      <c r="B35" s="198" t="s">
        <v>84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8"/>
      <c r="P35" s="78"/>
    </row>
    <row r="36" spans="1:16" ht="15.6" x14ac:dyDescent="0.3">
      <c r="A36" s="49" t="s">
        <v>671</v>
      </c>
      <c r="B36" s="198" t="s">
        <v>84</v>
      </c>
      <c r="C36" s="44">
        <v>0</v>
      </c>
      <c r="D36" s="44">
        <v>0</v>
      </c>
      <c r="E36" s="44">
        <v>0.5</v>
      </c>
      <c r="F36" s="44">
        <v>0.1</v>
      </c>
      <c r="G36" s="44">
        <v>0.3</v>
      </c>
      <c r="H36" s="44">
        <v>0.03</v>
      </c>
      <c r="I36" s="44">
        <v>0.03</v>
      </c>
      <c r="J36" s="44">
        <v>0.03</v>
      </c>
      <c r="K36" s="44">
        <v>0.08</v>
      </c>
      <c r="L36" s="44">
        <v>8.55104E-2</v>
      </c>
      <c r="M36" s="44">
        <v>0.3</v>
      </c>
      <c r="N36" s="44">
        <v>0.5</v>
      </c>
      <c r="O36" s="18" t="s">
        <v>15</v>
      </c>
      <c r="P36" s="78"/>
    </row>
    <row r="37" spans="1:16" ht="15.6" x14ac:dyDescent="0.3">
      <c r="A37" s="49" t="s">
        <v>672</v>
      </c>
      <c r="B37" s="198" t="s">
        <v>84</v>
      </c>
      <c r="C37" s="44">
        <v>0</v>
      </c>
      <c r="D37" s="44">
        <v>0</v>
      </c>
      <c r="E37" s="44">
        <v>0</v>
      </c>
      <c r="F37" s="44">
        <v>0.2</v>
      </c>
      <c r="G37" s="44">
        <v>0.3</v>
      </c>
      <c r="H37" s="44">
        <v>0.4</v>
      </c>
      <c r="I37" s="44">
        <v>0.8</v>
      </c>
      <c r="J37" s="44">
        <v>1.2</v>
      </c>
      <c r="K37" s="44">
        <v>1.6</v>
      </c>
      <c r="L37" s="44">
        <v>2.7</v>
      </c>
      <c r="M37" s="44">
        <v>2.8</v>
      </c>
      <c r="N37" s="44">
        <v>6.6</v>
      </c>
      <c r="O37" s="18" t="s">
        <v>15</v>
      </c>
      <c r="P37" s="78"/>
    </row>
    <row r="38" spans="1:16" ht="15.6" x14ac:dyDescent="0.3">
      <c r="A38" s="49" t="s">
        <v>673</v>
      </c>
      <c r="B38" s="198" t="s">
        <v>84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35"/>
      <c r="N38" s="135"/>
      <c r="O38" s="78"/>
      <c r="P38" s="78"/>
    </row>
    <row r="39" spans="1:16" ht="15.6" x14ac:dyDescent="0.3">
      <c r="A39" s="131" t="s">
        <v>102</v>
      </c>
      <c r="B39" s="99" t="s">
        <v>103</v>
      </c>
      <c r="C39" s="87">
        <f>IFERROR(SUM(C32:C38)/C23,"")</f>
        <v>1.0005828638041578</v>
      </c>
      <c r="D39" s="87">
        <f t="shared" ref="D39:N39" si="4">IFERROR(SUM(D32:D38)/D23,"")</f>
        <v>1</v>
      </c>
      <c r="E39" s="87">
        <f t="shared" si="4"/>
        <v>1</v>
      </c>
      <c r="F39" s="87">
        <f t="shared" si="4"/>
        <v>1</v>
      </c>
      <c r="G39" s="87">
        <f t="shared" si="4"/>
        <v>1</v>
      </c>
      <c r="H39" s="87">
        <f t="shared" si="4"/>
        <v>1.003608051652108</v>
      </c>
      <c r="I39" s="87">
        <f t="shared" si="4"/>
        <v>1.0013043478260872</v>
      </c>
      <c r="J39" s="87">
        <f t="shared" si="4"/>
        <v>1.000273192054014</v>
      </c>
      <c r="K39" s="87">
        <f t="shared" si="4"/>
        <v>0.9992395437262358</v>
      </c>
      <c r="L39" s="87">
        <f t="shared" si="4"/>
        <v>1.0000547563805104</v>
      </c>
      <c r="M39" s="87">
        <f t="shared" si="4"/>
        <v>1</v>
      </c>
      <c r="N39" s="87">
        <f t="shared" si="4"/>
        <v>1</v>
      </c>
      <c r="O39" s="78"/>
      <c r="P39" s="78"/>
    </row>
    <row r="40" spans="1:16" ht="15.6" x14ac:dyDescent="0.3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5.6" x14ac:dyDescent="0.3">
      <c r="A41" s="8" t="s">
        <v>674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5.6" x14ac:dyDescent="0.3">
      <c r="A42" s="133" t="s">
        <v>675</v>
      </c>
      <c r="B42" s="197" t="s">
        <v>84</v>
      </c>
      <c r="C42" s="44">
        <v>19.7</v>
      </c>
      <c r="D42" s="44">
        <v>23.2</v>
      </c>
      <c r="E42" s="44">
        <v>35.200000000000003</v>
      </c>
      <c r="F42" s="44">
        <v>38.700000000000003</v>
      </c>
      <c r="G42" s="44">
        <v>42.3</v>
      </c>
      <c r="H42" s="44">
        <v>45.5</v>
      </c>
      <c r="I42" s="44">
        <v>48.8</v>
      </c>
      <c r="J42" s="44">
        <v>51.7</v>
      </c>
      <c r="K42" s="44">
        <v>54.5</v>
      </c>
      <c r="L42" s="44">
        <v>57.866999999999997</v>
      </c>
      <c r="M42" s="44">
        <v>60.656999999999996</v>
      </c>
      <c r="N42" s="44">
        <v>63.6</v>
      </c>
      <c r="O42" s="18" t="s">
        <v>648</v>
      </c>
      <c r="P42" s="96"/>
    </row>
    <row r="43" spans="1:16" ht="15.6" x14ac:dyDescent="0.3">
      <c r="A43" s="49" t="s">
        <v>676</v>
      </c>
      <c r="B43" s="198" t="s">
        <v>84</v>
      </c>
      <c r="C43" s="44">
        <v>0.48</v>
      </c>
      <c r="D43" s="44">
        <v>0.56999999999999995</v>
      </c>
      <c r="E43" s="44">
        <v>1.33</v>
      </c>
      <c r="F43" s="44">
        <v>1.5</v>
      </c>
      <c r="G43" s="44">
        <v>1.72</v>
      </c>
      <c r="H43" s="44">
        <v>1.621</v>
      </c>
      <c r="I43" s="44">
        <v>1.782</v>
      </c>
      <c r="J43" s="44">
        <v>1.292</v>
      </c>
      <c r="K43" s="44">
        <v>1.3720000000000001</v>
      </c>
      <c r="L43" s="44">
        <v>1.3859999999999999</v>
      </c>
      <c r="M43" s="44">
        <v>1.4060000000000001</v>
      </c>
      <c r="N43" s="44">
        <v>1.6440000000000001</v>
      </c>
      <c r="O43" s="18" t="s">
        <v>648</v>
      </c>
      <c r="P43" s="96"/>
    </row>
    <row r="44" spans="1:16" ht="15.6" x14ac:dyDescent="0.3">
      <c r="A44" s="96"/>
      <c r="B44" s="19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18"/>
      <c r="P44" s="96"/>
    </row>
    <row r="45" spans="1:16" ht="15.6" x14ac:dyDescent="0.3">
      <c r="A45" s="96"/>
      <c r="B45" s="199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5.6" x14ac:dyDescent="0.3">
      <c r="A46" s="8" t="s">
        <v>677</v>
      </c>
      <c r="B46" s="19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5.6" x14ac:dyDescent="0.3">
      <c r="A47" s="96"/>
      <c r="B47" s="1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5.6" x14ac:dyDescent="0.3">
      <c r="A48" s="133" t="s">
        <v>678</v>
      </c>
      <c r="B48" s="197" t="s">
        <v>84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6" x14ac:dyDescent="0.3">
      <c r="A49" s="133" t="s">
        <v>678</v>
      </c>
      <c r="B49" s="197" t="s">
        <v>84</v>
      </c>
      <c r="C49" s="106">
        <f t="shared" ref="C49:N49" si="5">SUM(C50:C55)</f>
        <v>4.1669999999999998</v>
      </c>
      <c r="D49" s="106">
        <f t="shared" si="5"/>
        <v>4.2</v>
      </c>
      <c r="E49" s="106">
        <f t="shared" si="5"/>
        <v>4.3</v>
      </c>
      <c r="F49" s="106">
        <f t="shared" si="5"/>
        <v>4.5</v>
      </c>
      <c r="G49" s="106">
        <f t="shared" si="5"/>
        <v>4.6000000000000005</v>
      </c>
      <c r="H49" s="106">
        <f t="shared" si="5"/>
        <v>4.83</v>
      </c>
      <c r="I49" s="106">
        <f t="shared" si="5"/>
        <v>4.7700000000000005</v>
      </c>
      <c r="J49" s="106">
        <f t="shared" si="5"/>
        <v>4.91</v>
      </c>
      <c r="K49" s="106">
        <f t="shared" si="5"/>
        <v>4.97</v>
      </c>
      <c r="L49" s="106">
        <f t="shared" si="5"/>
        <v>5.2</v>
      </c>
      <c r="M49" s="106">
        <f t="shared" si="5"/>
        <v>5.2350000000000003</v>
      </c>
      <c r="N49" s="106">
        <f t="shared" si="5"/>
        <v>5.3000000000000007</v>
      </c>
      <c r="O49" s="18" t="s">
        <v>648</v>
      </c>
      <c r="P49" s="96"/>
    </row>
    <row r="50" spans="1:16" ht="15.6" x14ac:dyDescent="0.3">
      <c r="A50" s="49" t="s">
        <v>679</v>
      </c>
      <c r="B50" s="198" t="s">
        <v>84</v>
      </c>
      <c r="C50" s="44">
        <v>0.26900000000000002</v>
      </c>
      <c r="D50" s="44">
        <v>0.3</v>
      </c>
      <c r="E50" s="44">
        <v>0.2</v>
      </c>
      <c r="F50" s="44">
        <v>0.2</v>
      </c>
      <c r="G50" s="44">
        <v>0.2</v>
      </c>
      <c r="H50" s="44">
        <v>0.2</v>
      </c>
      <c r="I50" s="44">
        <v>0.2</v>
      </c>
      <c r="J50" s="44">
        <v>0.2</v>
      </c>
      <c r="K50" s="44">
        <v>0.25</v>
      </c>
      <c r="L50" s="44">
        <v>0.2</v>
      </c>
      <c r="M50" s="44">
        <v>0.23499999999999999</v>
      </c>
      <c r="N50" s="44">
        <v>0.2</v>
      </c>
      <c r="O50" s="18" t="s">
        <v>15</v>
      </c>
      <c r="P50" s="96"/>
    </row>
    <row r="51" spans="1:16" ht="15.6" x14ac:dyDescent="0.3">
      <c r="A51" s="49" t="s">
        <v>680</v>
      </c>
      <c r="B51" s="198" t="s">
        <v>84</v>
      </c>
      <c r="C51" s="44">
        <v>3.8959999999999999</v>
      </c>
      <c r="D51" s="44">
        <v>3.9</v>
      </c>
      <c r="E51" s="44">
        <v>4.0999999999999996</v>
      </c>
      <c r="F51" s="44">
        <v>4.3</v>
      </c>
      <c r="G51" s="44">
        <v>4.4000000000000004</v>
      </c>
      <c r="H51" s="44">
        <v>4.5</v>
      </c>
      <c r="I51" s="44">
        <v>4.5</v>
      </c>
      <c r="J51" s="44">
        <v>4.7</v>
      </c>
      <c r="K51" s="44">
        <v>4.71</v>
      </c>
      <c r="L51" s="44">
        <v>4.8</v>
      </c>
      <c r="M51" s="44">
        <v>4.7</v>
      </c>
      <c r="N51" s="44">
        <v>4.7</v>
      </c>
      <c r="O51" s="18" t="s">
        <v>15</v>
      </c>
      <c r="P51" s="96"/>
    </row>
    <row r="52" spans="1:16" ht="15.6" x14ac:dyDescent="0.3">
      <c r="A52" s="49" t="s">
        <v>681</v>
      </c>
      <c r="B52" s="198" t="s">
        <v>84</v>
      </c>
      <c r="C52" s="44">
        <v>2E-3</v>
      </c>
      <c r="D52" s="44">
        <v>0</v>
      </c>
      <c r="E52" s="44">
        <v>0</v>
      </c>
      <c r="F52" s="44">
        <v>0</v>
      </c>
      <c r="G52" s="44">
        <v>0</v>
      </c>
      <c r="H52" s="44">
        <v>0.08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18" t="s">
        <v>15</v>
      </c>
      <c r="P52" s="96"/>
    </row>
    <row r="53" spans="1:16" ht="15.6" x14ac:dyDescent="0.3">
      <c r="A53" s="49" t="s">
        <v>682</v>
      </c>
      <c r="B53" s="198" t="s">
        <v>84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105"/>
      <c r="P53" s="96"/>
    </row>
    <row r="54" spans="1:16" ht="15.6" x14ac:dyDescent="0.3">
      <c r="A54" s="49" t="s">
        <v>683</v>
      </c>
      <c r="B54" s="198" t="s">
        <v>84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05"/>
      <c r="P54" s="96"/>
    </row>
    <row r="55" spans="1:16" ht="15.6" x14ac:dyDescent="0.3">
      <c r="A55" s="49" t="s">
        <v>684</v>
      </c>
      <c r="B55" s="198" t="s">
        <v>84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0.05</v>
      </c>
      <c r="I55" s="44">
        <v>7.0000000000000007E-2</v>
      </c>
      <c r="J55" s="44">
        <v>0.01</v>
      </c>
      <c r="K55" s="44">
        <v>0.01</v>
      </c>
      <c r="L55" s="44">
        <v>0.2</v>
      </c>
      <c r="M55" s="44">
        <v>0.3</v>
      </c>
      <c r="N55" s="44">
        <v>0.4</v>
      </c>
      <c r="O55" s="18" t="s">
        <v>15</v>
      </c>
      <c r="P55" s="96"/>
    </row>
    <row r="56" spans="1:16" ht="15.6" x14ac:dyDescent="0.3">
      <c r="A56" s="131" t="s">
        <v>102</v>
      </c>
      <c r="B56" s="99" t="s">
        <v>103</v>
      </c>
      <c r="C56" s="87">
        <f t="shared" ref="C56:N56" si="6">IFERROR(SUM(C50:C55)/C49,"")</f>
        <v>1</v>
      </c>
      <c r="D56" s="87">
        <f t="shared" si="6"/>
        <v>1</v>
      </c>
      <c r="E56" s="87">
        <f t="shared" si="6"/>
        <v>1</v>
      </c>
      <c r="F56" s="87">
        <f t="shared" si="6"/>
        <v>1</v>
      </c>
      <c r="G56" s="87">
        <f t="shared" si="6"/>
        <v>1</v>
      </c>
      <c r="H56" s="87">
        <f t="shared" si="6"/>
        <v>1</v>
      </c>
      <c r="I56" s="87">
        <f t="shared" si="6"/>
        <v>1</v>
      </c>
      <c r="J56" s="87">
        <f t="shared" si="6"/>
        <v>1</v>
      </c>
      <c r="K56" s="87">
        <f t="shared" si="6"/>
        <v>1</v>
      </c>
      <c r="L56" s="87">
        <f t="shared" si="6"/>
        <v>1</v>
      </c>
      <c r="M56" s="87">
        <f t="shared" si="6"/>
        <v>1</v>
      </c>
      <c r="N56" s="87">
        <f t="shared" si="6"/>
        <v>1</v>
      </c>
      <c r="O56" s="105"/>
      <c r="P56" s="96"/>
    </row>
    <row r="57" spans="1:16" ht="15.6" x14ac:dyDescent="0.3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5.6" x14ac:dyDescent="0.3">
      <c r="A58" s="133" t="s">
        <v>685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5.6" x14ac:dyDescent="0.3">
      <c r="A59" s="133" t="s">
        <v>686</v>
      </c>
      <c r="B59" s="197" t="s">
        <v>84</v>
      </c>
      <c r="C59" s="106">
        <v>0.2</v>
      </c>
      <c r="D59" s="106">
        <v>0.1</v>
      </c>
      <c r="E59" s="106">
        <v>0.16</v>
      </c>
      <c r="F59" s="106">
        <v>0.2</v>
      </c>
      <c r="G59" s="106">
        <v>0.19999999999999998</v>
      </c>
      <c r="H59" s="106">
        <v>0.2</v>
      </c>
      <c r="I59" s="139">
        <v>0.17099999999999999</v>
      </c>
      <c r="J59" s="139">
        <v>0.21199999999999999</v>
      </c>
      <c r="K59" s="139">
        <v>0.14199999999999999</v>
      </c>
      <c r="L59" s="139">
        <v>0.20100000000000001</v>
      </c>
      <c r="M59" s="139">
        <v>0.223</v>
      </c>
      <c r="N59" s="139">
        <v>0.27</v>
      </c>
      <c r="O59" s="18" t="s">
        <v>648</v>
      </c>
      <c r="P59" s="96"/>
    </row>
    <row r="60" spans="1:16" ht="15.6" x14ac:dyDescent="0.3">
      <c r="A60" s="49" t="s">
        <v>687</v>
      </c>
      <c r="B60" s="198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18" t="s">
        <v>15</v>
      </c>
      <c r="P60" s="96"/>
    </row>
    <row r="61" spans="1:16" ht="15.6" x14ac:dyDescent="0.3">
      <c r="A61" s="49" t="s">
        <v>688</v>
      </c>
      <c r="B61" s="198" t="s">
        <v>84</v>
      </c>
      <c r="C61" s="44">
        <v>0.2</v>
      </c>
      <c r="D61" s="44">
        <v>0.1</v>
      </c>
      <c r="E61" s="44">
        <v>0.16</v>
      </c>
      <c r="F61" s="44">
        <v>0.2</v>
      </c>
      <c r="G61" s="44">
        <v>0.18</v>
      </c>
      <c r="H61" s="44">
        <v>0.19</v>
      </c>
      <c r="I61" s="44">
        <v>0.14899999999999999</v>
      </c>
      <c r="J61" s="44">
        <v>0.183</v>
      </c>
      <c r="K61" s="44">
        <v>0.14199999999999999</v>
      </c>
      <c r="L61" s="44">
        <v>0.125</v>
      </c>
      <c r="M61" s="44">
        <v>0.10199999999999999</v>
      </c>
      <c r="N61" s="44">
        <v>0.13</v>
      </c>
      <c r="O61" s="18" t="s">
        <v>15</v>
      </c>
      <c r="P61" s="96"/>
    </row>
    <row r="62" spans="1:16" ht="15.6" x14ac:dyDescent="0.3">
      <c r="A62" s="49" t="s">
        <v>689</v>
      </c>
      <c r="B62" s="198" t="s">
        <v>84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141"/>
      <c r="N62" s="141"/>
      <c r="O62" s="96"/>
      <c r="P62" s="96"/>
    </row>
    <row r="63" spans="1:16" ht="15.6" x14ac:dyDescent="0.3">
      <c r="A63" s="49" t="s">
        <v>690</v>
      </c>
      <c r="B63" s="198" t="s">
        <v>84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18"/>
      <c r="P63" s="96"/>
    </row>
    <row r="64" spans="1:16" ht="15.6" x14ac:dyDescent="0.3">
      <c r="A64" s="49" t="s">
        <v>691</v>
      </c>
      <c r="B64" s="198" t="s">
        <v>84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18"/>
      <c r="P64" s="96"/>
    </row>
    <row r="65" spans="1:16" ht="15.6" x14ac:dyDescent="0.3">
      <c r="A65" s="49" t="s">
        <v>692</v>
      </c>
      <c r="B65" s="198" t="s">
        <v>84</v>
      </c>
      <c r="C65" s="44">
        <v>0</v>
      </c>
      <c r="D65" s="44">
        <v>0</v>
      </c>
      <c r="E65" s="44">
        <v>0</v>
      </c>
      <c r="F65" s="44">
        <v>0</v>
      </c>
      <c r="G65" s="44">
        <v>0.02</v>
      </c>
      <c r="H65" s="44">
        <v>0.01</v>
      </c>
      <c r="I65" s="44">
        <v>2.1999999999999999E-2</v>
      </c>
      <c r="J65" s="44">
        <v>2.9000000000000001E-2</v>
      </c>
      <c r="K65" s="44">
        <v>0</v>
      </c>
      <c r="L65" s="44">
        <v>7.5999999999999998E-2</v>
      </c>
      <c r="M65" s="44">
        <v>0.121</v>
      </c>
      <c r="N65" s="44">
        <v>0.14000000000000001</v>
      </c>
      <c r="O65" s="18" t="s">
        <v>15</v>
      </c>
      <c r="P65" s="96"/>
    </row>
    <row r="66" spans="1:16" ht="15.6" x14ac:dyDescent="0.3">
      <c r="A66" s="131" t="s">
        <v>102</v>
      </c>
      <c r="B66" s="198" t="s">
        <v>84</v>
      </c>
      <c r="C66" s="87">
        <f>IFERROR(SUM(C61:C65)/C59,"")</f>
        <v>1</v>
      </c>
      <c r="D66" s="87">
        <f t="shared" ref="D66:N66" si="7">IFERROR(SUM(D61:D65)/D59,"")</f>
        <v>1</v>
      </c>
      <c r="E66" s="87">
        <f t="shared" si="7"/>
        <v>1</v>
      </c>
      <c r="F66" s="87">
        <f t="shared" si="7"/>
        <v>1</v>
      </c>
      <c r="G66" s="87">
        <f t="shared" si="7"/>
        <v>1</v>
      </c>
      <c r="H66" s="87">
        <f t="shared" si="7"/>
        <v>1</v>
      </c>
      <c r="I66" s="87">
        <f t="shared" si="7"/>
        <v>1</v>
      </c>
      <c r="J66" s="87">
        <f t="shared" si="7"/>
        <v>1</v>
      </c>
      <c r="K66" s="87">
        <f t="shared" si="7"/>
        <v>1</v>
      </c>
      <c r="L66" s="87">
        <f t="shared" si="7"/>
        <v>1</v>
      </c>
      <c r="M66" s="87">
        <f t="shared" si="7"/>
        <v>0.99999999999999989</v>
      </c>
      <c r="N66" s="87">
        <f t="shared" si="7"/>
        <v>1</v>
      </c>
      <c r="O66" s="96"/>
      <c r="P66" s="96"/>
    </row>
    <row r="67" spans="1:16" ht="15.6" x14ac:dyDescent="0.3">
      <c r="A67" s="96"/>
      <c r="B67" s="99" t="s">
        <v>103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5.6" x14ac:dyDescent="0.3">
      <c r="A68" s="8" t="s">
        <v>693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5.6" x14ac:dyDescent="0.3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5.6" x14ac:dyDescent="0.3">
      <c r="A70" s="133" t="s">
        <v>694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5.6" x14ac:dyDescent="0.3">
      <c r="A71" s="133" t="s">
        <v>695</v>
      </c>
      <c r="B71" s="197" t="s">
        <v>84</v>
      </c>
      <c r="C71" s="106">
        <v>55.4</v>
      </c>
      <c r="D71" s="106">
        <v>57.7</v>
      </c>
      <c r="E71" s="106">
        <v>60.8</v>
      </c>
      <c r="F71" s="106">
        <v>64.099999999999994</v>
      </c>
      <c r="G71" s="106">
        <v>68</v>
      </c>
      <c r="H71" s="106">
        <v>72.8</v>
      </c>
      <c r="I71" s="106">
        <v>78.28</v>
      </c>
      <c r="J71" s="106">
        <v>83.92</v>
      </c>
      <c r="K71" s="106">
        <v>90.12</v>
      </c>
      <c r="L71" s="106">
        <v>97.9</v>
      </c>
      <c r="M71" s="106">
        <v>101.9</v>
      </c>
      <c r="N71" s="106">
        <v>106.3</v>
      </c>
      <c r="O71" s="18" t="s">
        <v>15</v>
      </c>
      <c r="P71" s="96"/>
    </row>
    <row r="72" spans="1:16" ht="15.6" x14ac:dyDescent="0.3">
      <c r="A72" s="49" t="s">
        <v>696</v>
      </c>
      <c r="B72" s="198" t="s">
        <v>84</v>
      </c>
      <c r="C72" s="44">
        <v>14.4</v>
      </c>
      <c r="D72" s="44">
        <v>14.5</v>
      </c>
      <c r="E72" s="44">
        <v>14.5</v>
      </c>
      <c r="F72" s="44">
        <v>14.4</v>
      </c>
      <c r="G72" s="44">
        <v>14.4</v>
      </c>
      <c r="H72" s="44">
        <v>14.7</v>
      </c>
      <c r="I72" s="44">
        <v>15</v>
      </c>
      <c r="J72" s="44">
        <v>15.3</v>
      </c>
      <c r="K72" s="44">
        <v>15.7</v>
      </c>
      <c r="L72" s="44">
        <v>16.399999999999999</v>
      </c>
      <c r="M72" s="44">
        <v>16.600000000000001</v>
      </c>
      <c r="N72" s="44">
        <v>16.5</v>
      </c>
      <c r="O72" s="18" t="s">
        <v>15</v>
      </c>
      <c r="P72" s="96"/>
    </row>
    <row r="73" spans="1:16" ht="15.6" x14ac:dyDescent="0.3">
      <c r="A73" s="49" t="s">
        <v>697</v>
      </c>
      <c r="B73" s="198" t="s">
        <v>84</v>
      </c>
      <c r="C73" s="44">
        <v>41</v>
      </c>
      <c r="D73" s="44">
        <v>43.2</v>
      </c>
      <c r="E73" s="44">
        <v>46.3</v>
      </c>
      <c r="F73" s="44">
        <v>49.6</v>
      </c>
      <c r="G73" s="44">
        <v>53.5</v>
      </c>
      <c r="H73" s="44">
        <v>58</v>
      </c>
      <c r="I73" s="44">
        <v>63.14</v>
      </c>
      <c r="J73" s="44">
        <v>68.400000000000006</v>
      </c>
      <c r="K73" s="44">
        <v>74.2</v>
      </c>
      <c r="L73" s="44">
        <v>81.099999999999994</v>
      </c>
      <c r="M73" s="44">
        <v>84.9</v>
      </c>
      <c r="N73" s="44">
        <v>89.3</v>
      </c>
      <c r="O73" s="18" t="s">
        <v>15</v>
      </c>
      <c r="P73" s="96"/>
    </row>
    <row r="74" spans="1:16" ht="15.6" x14ac:dyDescent="0.3">
      <c r="A74" s="49" t="s">
        <v>698</v>
      </c>
      <c r="B74" s="198" t="s">
        <v>84</v>
      </c>
      <c r="C74" s="44">
        <v>0</v>
      </c>
      <c r="D74" s="44">
        <v>0</v>
      </c>
      <c r="E74" s="44">
        <v>0</v>
      </c>
      <c r="F74" s="44">
        <v>0.1</v>
      </c>
      <c r="G74" s="44">
        <v>0.1</v>
      </c>
      <c r="H74" s="44">
        <v>0.02</v>
      </c>
      <c r="I74" s="44">
        <v>0.02</v>
      </c>
      <c r="J74" s="44">
        <v>0.02</v>
      </c>
      <c r="K74" s="44">
        <v>0.02</v>
      </c>
      <c r="L74" s="44">
        <v>0.02</v>
      </c>
      <c r="M74" s="44">
        <v>0</v>
      </c>
      <c r="N74" s="44">
        <v>0.1</v>
      </c>
      <c r="O74" s="18" t="s">
        <v>15</v>
      </c>
      <c r="P74" s="96"/>
    </row>
    <row r="75" spans="1:16" ht="15.6" x14ac:dyDescent="0.3">
      <c r="A75" s="49" t="s">
        <v>699</v>
      </c>
      <c r="B75" s="198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18"/>
      <c r="P75" s="96"/>
    </row>
    <row r="76" spans="1:16" ht="15.6" x14ac:dyDescent="0.3">
      <c r="A76" s="49" t="s">
        <v>700</v>
      </c>
      <c r="B76" s="198" t="s">
        <v>84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18"/>
      <c r="P76" s="96"/>
    </row>
    <row r="77" spans="1:16" ht="15.6" x14ac:dyDescent="0.3">
      <c r="A77" s="49" t="s">
        <v>701</v>
      </c>
      <c r="B77" s="134" t="s">
        <v>84</v>
      </c>
      <c r="C77" s="44"/>
      <c r="D77" s="44"/>
      <c r="E77" s="44"/>
      <c r="F77" s="44"/>
      <c r="G77" s="44"/>
      <c r="H77" s="44">
        <v>0.08</v>
      </c>
      <c r="I77" s="44">
        <v>0.12</v>
      </c>
      <c r="J77" s="44">
        <v>0.2</v>
      </c>
      <c r="K77" s="44">
        <v>0.2</v>
      </c>
      <c r="L77" s="44">
        <v>0.38</v>
      </c>
      <c r="M77" s="44">
        <v>0.4</v>
      </c>
      <c r="N77" s="44">
        <v>0.4</v>
      </c>
      <c r="O77" s="18" t="s">
        <v>15</v>
      </c>
      <c r="P77" s="96"/>
    </row>
    <row r="78" spans="1:16" ht="15.6" x14ac:dyDescent="0.3">
      <c r="A78" s="131" t="s">
        <v>102</v>
      </c>
      <c r="B78" s="99" t="s">
        <v>103</v>
      </c>
      <c r="C78" s="87">
        <f t="shared" ref="C78:N78" si="8">IFERROR(SUM(C72:C77)/C71,"")</f>
        <v>1</v>
      </c>
      <c r="D78" s="87">
        <f t="shared" si="8"/>
        <v>1</v>
      </c>
      <c r="E78" s="87">
        <f t="shared" si="8"/>
        <v>1</v>
      </c>
      <c r="F78" s="87">
        <f t="shared" si="8"/>
        <v>1</v>
      </c>
      <c r="G78" s="87">
        <f t="shared" si="8"/>
        <v>1</v>
      </c>
      <c r="H78" s="87">
        <f t="shared" si="8"/>
        <v>1</v>
      </c>
      <c r="I78" s="87">
        <f t="shared" si="8"/>
        <v>1</v>
      </c>
      <c r="J78" s="87">
        <f t="shared" si="8"/>
        <v>1</v>
      </c>
      <c r="K78" s="87">
        <f t="shared" si="8"/>
        <v>1</v>
      </c>
      <c r="L78" s="87">
        <f t="shared" si="8"/>
        <v>0.99999999999999989</v>
      </c>
      <c r="M78" s="87">
        <f t="shared" si="8"/>
        <v>1</v>
      </c>
      <c r="N78" s="87">
        <f t="shared" si="8"/>
        <v>1</v>
      </c>
      <c r="O78" s="142"/>
      <c r="P78" s="96"/>
    </row>
    <row r="79" spans="1:16" ht="15.6" x14ac:dyDescent="0.3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5.6" x14ac:dyDescent="0.3">
      <c r="A80" s="133" t="s">
        <v>702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5.6" x14ac:dyDescent="0.3">
      <c r="A81" s="133" t="s">
        <v>703</v>
      </c>
      <c r="B81" s="197" t="s">
        <v>84</v>
      </c>
      <c r="C81" s="106">
        <v>1.4</v>
      </c>
      <c r="D81" s="106">
        <v>2.5</v>
      </c>
      <c r="E81" s="106">
        <v>2.8</v>
      </c>
      <c r="F81" s="106">
        <v>2.9</v>
      </c>
      <c r="G81" s="106">
        <v>3.3</v>
      </c>
      <c r="H81" s="106">
        <v>4</v>
      </c>
      <c r="I81" s="106">
        <v>4.4000000000000004</v>
      </c>
      <c r="J81" s="106">
        <v>4.8</v>
      </c>
      <c r="K81" s="106">
        <v>5.0999999999999996</v>
      </c>
      <c r="L81" s="106">
        <v>4.5199999999999996</v>
      </c>
      <c r="M81" s="106">
        <v>3.3</v>
      </c>
      <c r="N81" s="106">
        <v>4.2</v>
      </c>
      <c r="O81" s="18" t="s">
        <v>15</v>
      </c>
      <c r="P81" s="96"/>
    </row>
    <row r="82" spans="1:16" ht="15.6" x14ac:dyDescent="0.3">
      <c r="A82" s="49" t="s">
        <v>704</v>
      </c>
      <c r="B82" s="198" t="s">
        <v>84</v>
      </c>
      <c r="C82" s="44">
        <v>0.4</v>
      </c>
      <c r="D82" s="44">
        <v>0.5</v>
      </c>
      <c r="E82" s="44">
        <v>0.4</v>
      </c>
      <c r="F82" s="44">
        <v>0.3</v>
      </c>
      <c r="G82" s="44">
        <v>0.4</v>
      </c>
      <c r="H82" s="44">
        <v>0.5</v>
      </c>
      <c r="I82" s="44">
        <v>0.5</v>
      </c>
      <c r="J82" s="44">
        <v>0.5</v>
      </c>
      <c r="K82" s="44">
        <v>0.6</v>
      </c>
      <c r="L82" s="44">
        <v>0.5</v>
      </c>
      <c r="M82" s="44">
        <v>0.3</v>
      </c>
      <c r="N82" s="44">
        <v>0.2</v>
      </c>
      <c r="O82" s="18" t="s">
        <v>15</v>
      </c>
      <c r="P82" s="96"/>
    </row>
    <row r="83" spans="1:16" ht="15.6" x14ac:dyDescent="0.3">
      <c r="A83" s="49" t="s">
        <v>705</v>
      </c>
      <c r="B83" s="198" t="s">
        <v>84</v>
      </c>
      <c r="C83" s="44">
        <v>1</v>
      </c>
      <c r="D83" s="44">
        <v>2</v>
      </c>
      <c r="E83" s="44">
        <v>2.4</v>
      </c>
      <c r="F83" s="44">
        <v>2.6</v>
      </c>
      <c r="G83" s="44">
        <v>2.9</v>
      </c>
      <c r="H83" s="44">
        <v>3.5</v>
      </c>
      <c r="I83" s="44">
        <v>3.9</v>
      </c>
      <c r="J83" s="44">
        <v>4.3</v>
      </c>
      <c r="K83" s="44">
        <v>4.5</v>
      </c>
      <c r="L83" s="44">
        <v>4</v>
      </c>
      <c r="M83" s="44">
        <v>3</v>
      </c>
      <c r="N83" s="44">
        <v>4</v>
      </c>
      <c r="O83" s="18" t="s">
        <v>15</v>
      </c>
      <c r="P83" s="96"/>
    </row>
    <row r="84" spans="1:16" ht="15.6" x14ac:dyDescent="0.3">
      <c r="A84" s="49" t="s">
        <v>706</v>
      </c>
      <c r="B84" s="198" t="s">
        <v>84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0"/>
      <c r="P84" s="96"/>
    </row>
    <row r="85" spans="1:16" ht="15.6" x14ac:dyDescent="0.3">
      <c r="A85" s="49" t="s">
        <v>707</v>
      </c>
      <c r="B85" s="198" t="s">
        <v>84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0"/>
      <c r="P85" s="96"/>
    </row>
    <row r="86" spans="1:16" ht="15.6" x14ac:dyDescent="0.3">
      <c r="A86" s="49" t="s">
        <v>708</v>
      </c>
      <c r="B86" s="198" t="s">
        <v>84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0"/>
      <c r="P86" s="96"/>
    </row>
    <row r="87" spans="1:16" ht="15.6" x14ac:dyDescent="0.3">
      <c r="A87" s="49" t="s">
        <v>709</v>
      </c>
      <c r="B87" s="198" t="s">
        <v>84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18" t="s">
        <v>15</v>
      </c>
      <c r="P87" s="96"/>
    </row>
    <row r="88" spans="1:16" ht="15.6" x14ac:dyDescent="0.3">
      <c r="A88" s="131" t="s">
        <v>102</v>
      </c>
      <c r="B88" s="99" t="s">
        <v>103</v>
      </c>
      <c r="C88" s="87">
        <f>IFERROR(SUM(C82:C87)/C81,"")</f>
        <v>1</v>
      </c>
      <c r="D88" s="87">
        <f t="shared" ref="D88:N88" si="9">IFERROR(SUM(D82:D87)/D81,"")</f>
        <v>1</v>
      </c>
      <c r="E88" s="87">
        <f t="shared" si="9"/>
        <v>1</v>
      </c>
      <c r="F88" s="87">
        <f t="shared" si="9"/>
        <v>1</v>
      </c>
      <c r="G88" s="87">
        <f t="shared" si="9"/>
        <v>1</v>
      </c>
      <c r="H88" s="87">
        <f t="shared" si="9"/>
        <v>1</v>
      </c>
      <c r="I88" s="87">
        <f t="shared" si="9"/>
        <v>1</v>
      </c>
      <c r="J88" s="87">
        <f t="shared" si="9"/>
        <v>1</v>
      </c>
      <c r="K88" s="87">
        <f t="shared" si="9"/>
        <v>1</v>
      </c>
      <c r="L88" s="87">
        <f t="shared" si="9"/>
        <v>0.99557522123893816</v>
      </c>
      <c r="M88" s="87">
        <f t="shared" si="9"/>
        <v>1</v>
      </c>
      <c r="N88" s="87">
        <f t="shared" si="9"/>
        <v>1</v>
      </c>
      <c r="O88" s="96"/>
      <c r="P88" s="96"/>
    </row>
    <row r="89" spans="1:16" ht="15.6" x14ac:dyDescent="0.3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5.6" x14ac:dyDescent="0.3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5.6" x14ac:dyDescent="0.3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5.6" x14ac:dyDescent="0.3">
      <c r="A92" s="8" t="s">
        <v>710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.6" x14ac:dyDescent="0.3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5.6" x14ac:dyDescent="0.3">
      <c r="A94" s="133" t="s">
        <v>711</v>
      </c>
      <c r="B94" s="197" t="s">
        <v>84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.6" x14ac:dyDescent="0.3">
      <c r="A95" s="133" t="s">
        <v>711</v>
      </c>
      <c r="B95" s="198" t="s">
        <v>84</v>
      </c>
      <c r="C95" s="106">
        <v>25.8</v>
      </c>
      <c r="D95" s="106">
        <v>26.6</v>
      </c>
      <c r="E95" s="106">
        <v>27.2</v>
      </c>
      <c r="F95" s="106">
        <v>28.1</v>
      </c>
      <c r="G95" s="106">
        <v>28.6</v>
      </c>
      <c r="H95" s="106">
        <v>28.9</v>
      </c>
      <c r="I95" s="106">
        <v>29.9</v>
      </c>
      <c r="J95" s="106">
        <v>30.9</v>
      </c>
      <c r="K95" s="106">
        <v>31.5</v>
      </c>
      <c r="L95" s="106">
        <v>33.200000000000003</v>
      </c>
      <c r="M95" s="106">
        <v>33.5</v>
      </c>
      <c r="N95" s="106">
        <v>33.799999999999997</v>
      </c>
      <c r="O95" s="18" t="s">
        <v>15</v>
      </c>
      <c r="P95" s="96"/>
    </row>
    <row r="96" spans="1:16" ht="15.6" x14ac:dyDescent="0.3">
      <c r="A96" s="49" t="s">
        <v>712</v>
      </c>
      <c r="B96" s="198" t="s">
        <v>84</v>
      </c>
      <c r="C96" s="44">
        <v>11.5</v>
      </c>
      <c r="D96" s="44">
        <v>11.3</v>
      </c>
      <c r="E96" s="44">
        <v>14.1</v>
      </c>
      <c r="F96" s="44">
        <v>14.6</v>
      </c>
      <c r="G96" s="44">
        <v>15</v>
      </c>
      <c r="H96" s="44">
        <v>15.2</v>
      </c>
      <c r="I96" s="44">
        <v>15.9</v>
      </c>
      <c r="J96" s="44">
        <v>16.5</v>
      </c>
      <c r="K96" s="44">
        <v>16.899999999999999</v>
      </c>
      <c r="L96" s="44">
        <v>17.7</v>
      </c>
      <c r="M96" s="44">
        <v>17.899999999999999</v>
      </c>
      <c r="N96" s="44">
        <v>18</v>
      </c>
      <c r="O96" s="18" t="s">
        <v>15</v>
      </c>
      <c r="P96" s="96"/>
    </row>
    <row r="97" spans="1:16" ht="15.6" x14ac:dyDescent="0.3">
      <c r="A97" s="49" t="s">
        <v>713</v>
      </c>
      <c r="B97" s="198" t="s">
        <v>84</v>
      </c>
      <c r="C97" s="44">
        <v>14.3</v>
      </c>
      <c r="D97" s="44">
        <v>15.3</v>
      </c>
      <c r="E97" s="44">
        <v>13.1</v>
      </c>
      <c r="F97" s="44">
        <v>13.5</v>
      </c>
      <c r="G97" s="44">
        <v>13.6</v>
      </c>
      <c r="H97" s="44">
        <v>13.7</v>
      </c>
      <c r="I97" s="44">
        <v>14</v>
      </c>
      <c r="J97" s="44">
        <v>14.4</v>
      </c>
      <c r="K97" s="44">
        <v>14.6</v>
      </c>
      <c r="L97" s="44">
        <v>15.5</v>
      </c>
      <c r="M97" s="44">
        <v>15.6</v>
      </c>
      <c r="N97" s="44">
        <v>15.8</v>
      </c>
      <c r="O97" s="18" t="s">
        <v>15</v>
      </c>
      <c r="P97" s="96"/>
    </row>
    <row r="98" spans="1:16" ht="15.6" x14ac:dyDescent="0.3">
      <c r="A98" s="49" t="s">
        <v>714</v>
      </c>
      <c r="B98" s="198" t="s">
        <v>84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18" t="s">
        <v>15</v>
      </c>
      <c r="P98" s="96"/>
    </row>
    <row r="99" spans="1:16" ht="15.6" x14ac:dyDescent="0.3">
      <c r="A99" s="131" t="s">
        <v>102</v>
      </c>
      <c r="B99" s="99" t="s">
        <v>103</v>
      </c>
      <c r="C99" s="87">
        <f>IFERROR(SUM(C101:C103)/C95,"")</f>
        <v>1</v>
      </c>
      <c r="D99" s="87">
        <f t="shared" ref="D99:N99" si="10">IFERROR(SUM(D101:D103)/D95,"")</f>
        <v>0.99999999999999989</v>
      </c>
      <c r="E99" s="87">
        <f t="shared" si="10"/>
        <v>1.0000000000000002</v>
      </c>
      <c r="F99" s="87">
        <f t="shared" si="10"/>
        <v>1</v>
      </c>
      <c r="G99" s="87">
        <f t="shared" si="10"/>
        <v>0.99999999999999989</v>
      </c>
      <c r="H99" s="87">
        <f t="shared" si="10"/>
        <v>1.0000000000000002</v>
      </c>
      <c r="I99" s="87">
        <f t="shared" si="10"/>
        <v>1.0000000000000002</v>
      </c>
      <c r="J99" s="87">
        <f t="shared" si="10"/>
        <v>1.0000000000000002</v>
      </c>
      <c r="K99" s="87">
        <f t="shared" si="10"/>
        <v>1.0000000000000002</v>
      </c>
      <c r="L99" s="87">
        <f t="shared" si="10"/>
        <v>1.0002390514438706</v>
      </c>
      <c r="M99" s="87">
        <f t="shared" si="10"/>
        <v>1</v>
      </c>
      <c r="N99" s="87">
        <f t="shared" si="10"/>
        <v>1.0000000000000002</v>
      </c>
      <c r="O99" s="102"/>
      <c r="P99" s="96"/>
    </row>
    <row r="100" spans="1:16" ht="15.6" x14ac:dyDescent="0.3">
      <c r="A100" s="96"/>
      <c r="B100" s="107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2"/>
      <c r="P100" s="96"/>
    </row>
    <row r="101" spans="1:16" ht="15.6" x14ac:dyDescent="0.3">
      <c r="A101" s="49" t="s">
        <v>715</v>
      </c>
      <c r="B101" s="198" t="s">
        <v>84</v>
      </c>
      <c r="C101" s="44">
        <v>4.3</v>
      </c>
      <c r="D101" s="44">
        <v>4.2</v>
      </c>
      <c r="E101" s="44">
        <v>4.0999999999999996</v>
      </c>
      <c r="F101" s="44">
        <v>4</v>
      </c>
      <c r="G101" s="44">
        <v>3.9</v>
      </c>
      <c r="H101" s="44">
        <v>3.8</v>
      </c>
      <c r="I101" s="44">
        <v>3.8</v>
      </c>
      <c r="J101" s="44">
        <v>3.7</v>
      </c>
      <c r="K101" s="44">
        <v>3.6</v>
      </c>
      <c r="L101" s="44">
        <v>3.6</v>
      </c>
      <c r="M101" s="44">
        <v>3.6</v>
      </c>
      <c r="N101" s="44">
        <v>3.5</v>
      </c>
      <c r="O101" s="18" t="s">
        <v>15</v>
      </c>
      <c r="P101" s="96"/>
    </row>
    <row r="102" spans="1:16" ht="15.6" x14ac:dyDescent="0.3">
      <c r="A102" s="49" t="s">
        <v>716</v>
      </c>
      <c r="B102" s="198" t="s">
        <v>84</v>
      </c>
      <c r="C102" s="44">
        <v>21.5</v>
      </c>
      <c r="D102" s="44">
        <v>22.4</v>
      </c>
      <c r="E102" s="44">
        <v>23.1</v>
      </c>
      <c r="F102" s="44">
        <v>24.1</v>
      </c>
      <c r="G102" s="44">
        <v>24.7</v>
      </c>
      <c r="H102" s="44">
        <v>25.1</v>
      </c>
      <c r="I102" s="44">
        <v>26.1</v>
      </c>
      <c r="J102" s="44">
        <v>27.1</v>
      </c>
      <c r="K102" s="44">
        <v>27.8</v>
      </c>
      <c r="L102" s="44">
        <v>29.5</v>
      </c>
      <c r="M102" s="44">
        <v>29.8</v>
      </c>
      <c r="N102" s="44">
        <v>30.2</v>
      </c>
      <c r="O102" s="18" t="s">
        <v>15</v>
      </c>
      <c r="P102" s="96"/>
    </row>
    <row r="103" spans="1:16" ht="15.6" x14ac:dyDescent="0.3">
      <c r="A103" s="49" t="s">
        <v>717</v>
      </c>
      <c r="B103" s="198" t="s">
        <v>84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0.1</v>
      </c>
      <c r="K103" s="44">
        <v>0.1</v>
      </c>
      <c r="L103" s="44">
        <v>0.10793650793650793</v>
      </c>
      <c r="M103" s="44">
        <v>0.1</v>
      </c>
      <c r="N103" s="44">
        <v>0.1</v>
      </c>
      <c r="O103" s="18" t="s">
        <v>15</v>
      </c>
      <c r="P103" s="96"/>
    </row>
    <row r="104" spans="1:16" ht="15.6" x14ac:dyDescent="0.3">
      <c r="A104" s="131" t="s">
        <v>102</v>
      </c>
      <c r="B104" s="198" t="s">
        <v>84</v>
      </c>
      <c r="C104" s="87">
        <f>IFERROR(SUM(C101:C103)/C95,"")</f>
        <v>1</v>
      </c>
      <c r="D104" s="87">
        <f t="shared" ref="D104:N104" si="11">IFERROR(SUM(D101:D103)/D95,"")</f>
        <v>0.99999999999999989</v>
      </c>
      <c r="E104" s="87">
        <f t="shared" si="11"/>
        <v>1.0000000000000002</v>
      </c>
      <c r="F104" s="87">
        <f t="shared" si="11"/>
        <v>1</v>
      </c>
      <c r="G104" s="87">
        <f t="shared" si="11"/>
        <v>0.99999999999999989</v>
      </c>
      <c r="H104" s="87">
        <f t="shared" si="11"/>
        <v>1.0000000000000002</v>
      </c>
      <c r="I104" s="87">
        <f t="shared" si="11"/>
        <v>1.0000000000000002</v>
      </c>
      <c r="J104" s="87">
        <f t="shared" si="11"/>
        <v>1.0000000000000002</v>
      </c>
      <c r="K104" s="87">
        <f t="shared" si="11"/>
        <v>1.0000000000000002</v>
      </c>
      <c r="L104" s="87">
        <f t="shared" si="11"/>
        <v>1.0002390514438706</v>
      </c>
      <c r="M104" s="87">
        <f t="shared" si="11"/>
        <v>1</v>
      </c>
      <c r="N104" s="87">
        <f t="shared" si="11"/>
        <v>1.0000000000000002</v>
      </c>
      <c r="O104" s="105"/>
      <c r="P104" s="96"/>
    </row>
    <row r="105" spans="1:16" ht="15.6" x14ac:dyDescent="0.3">
      <c r="A105" s="143"/>
      <c r="B105" s="99" t="s">
        <v>103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05"/>
      <c r="P105" s="96"/>
    </row>
    <row r="106" spans="1:16" ht="15.6" x14ac:dyDescent="0.3">
      <c r="A106" s="133" t="s">
        <v>718</v>
      </c>
      <c r="B106" s="96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05"/>
      <c r="P106" s="96"/>
    </row>
    <row r="107" spans="1:16" ht="15.6" x14ac:dyDescent="0.3">
      <c r="A107" s="133" t="s">
        <v>719</v>
      </c>
      <c r="B107" s="197" t="s">
        <v>84</v>
      </c>
      <c r="C107" s="106">
        <v>0.30000000000000004</v>
      </c>
      <c r="D107" s="106">
        <v>0.7</v>
      </c>
      <c r="E107" s="106">
        <v>0.7</v>
      </c>
      <c r="F107" s="106">
        <v>0.8</v>
      </c>
      <c r="G107" s="106">
        <v>0.7</v>
      </c>
      <c r="H107" s="106">
        <v>0.7</v>
      </c>
      <c r="I107" s="106">
        <v>0.8</v>
      </c>
      <c r="J107" s="106">
        <v>1</v>
      </c>
      <c r="K107" s="106">
        <v>1.1000000000000001</v>
      </c>
      <c r="L107" s="106">
        <v>1</v>
      </c>
      <c r="M107" s="106">
        <v>0.5</v>
      </c>
      <c r="N107" s="106">
        <v>0.7</v>
      </c>
      <c r="O107" s="18" t="s">
        <v>15</v>
      </c>
      <c r="P107" s="96"/>
    </row>
    <row r="108" spans="1:16" ht="15.6" x14ac:dyDescent="0.3">
      <c r="A108" s="49" t="s">
        <v>720</v>
      </c>
      <c r="B108" s="198" t="s">
        <v>84</v>
      </c>
      <c r="C108" s="44">
        <v>0.1</v>
      </c>
      <c r="D108" s="44">
        <v>0.4</v>
      </c>
      <c r="E108" s="44">
        <v>0.4</v>
      </c>
      <c r="F108" s="44">
        <v>0.4</v>
      </c>
      <c r="G108" s="44">
        <v>0.4</v>
      </c>
      <c r="H108" s="44">
        <v>0.4</v>
      </c>
      <c r="I108" s="44">
        <v>0.5</v>
      </c>
      <c r="J108" s="44">
        <v>0.6</v>
      </c>
      <c r="K108" s="44">
        <v>0.6</v>
      </c>
      <c r="L108" s="44">
        <v>0.5</v>
      </c>
      <c r="M108" s="44">
        <v>0.2</v>
      </c>
      <c r="N108" s="44">
        <v>0.3</v>
      </c>
      <c r="O108" s="18" t="s">
        <v>648</v>
      </c>
      <c r="P108" s="96"/>
    </row>
    <row r="109" spans="1:16" ht="15.6" x14ac:dyDescent="0.3">
      <c r="A109" s="49" t="s">
        <v>721</v>
      </c>
      <c r="B109" s="198" t="s">
        <v>84</v>
      </c>
      <c r="C109" s="44">
        <v>0.2</v>
      </c>
      <c r="D109" s="44">
        <v>0.3</v>
      </c>
      <c r="E109" s="44">
        <v>0.3</v>
      </c>
      <c r="F109" s="44">
        <v>0.4</v>
      </c>
      <c r="G109" s="44">
        <v>0.3</v>
      </c>
      <c r="H109" s="44">
        <v>0.3</v>
      </c>
      <c r="I109" s="44">
        <v>0.3</v>
      </c>
      <c r="J109" s="44">
        <v>0.4</v>
      </c>
      <c r="K109" s="44">
        <v>0.5</v>
      </c>
      <c r="L109" s="44">
        <v>0.5</v>
      </c>
      <c r="M109" s="44">
        <v>0.3</v>
      </c>
      <c r="N109" s="44">
        <v>0.4</v>
      </c>
      <c r="O109" s="18" t="s">
        <v>15</v>
      </c>
      <c r="P109" s="96"/>
    </row>
    <row r="110" spans="1:16" ht="15.6" x14ac:dyDescent="0.3">
      <c r="A110" s="49" t="s">
        <v>722</v>
      </c>
      <c r="B110" s="198" t="s">
        <v>84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18" t="s">
        <v>15</v>
      </c>
      <c r="P110" s="96"/>
    </row>
    <row r="111" spans="1:16" ht="15.6" x14ac:dyDescent="0.3">
      <c r="A111" s="131" t="s">
        <v>102</v>
      </c>
      <c r="B111" s="99" t="s">
        <v>103</v>
      </c>
      <c r="C111" s="87">
        <f>IFERROR(SUM(C108:C110)/C107,"")</f>
        <v>1</v>
      </c>
      <c r="D111" s="87">
        <f t="shared" ref="D111:N111" si="12">IFERROR(SUM(D108:D110)/D107,"")</f>
        <v>1</v>
      </c>
      <c r="E111" s="87">
        <f t="shared" si="12"/>
        <v>1</v>
      </c>
      <c r="F111" s="87">
        <f t="shared" si="12"/>
        <v>1</v>
      </c>
      <c r="G111" s="87">
        <f t="shared" si="12"/>
        <v>1</v>
      </c>
      <c r="H111" s="87">
        <f t="shared" si="12"/>
        <v>1</v>
      </c>
      <c r="I111" s="87">
        <f t="shared" si="12"/>
        <v>1</v>
      </c>
      <c r="J111" s="87">
        <f t="shared" si="12"/>
        <v>1</v>
      </c>
      <c r="K111" s="87">
        <f t="shared" si="12"/>
        <v>1</v>
      </c>
      <c r="L111" s="87">
        <f t="shared" si="12"/>
        <v>1</v>
      </c>
      <c r="M111" s="87">
        <f t="shared" si="12"/>
        <v>1</v>
      </c>
      <c r="N111" s="87">
        <f t="shared" si="12"/>
        <v>1</v>
      </c>
      <c r="O111" s="102"/>
      <c r="P111" s="96"/>
    </row>
    <row r="112" spans="1:16" ht="15.6" x14ac:dyDescent="0.3">
      <c r="A112" s="96"/>
      <c r="B112" s="99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2"/>
      <c r="P112" s="96"/>
    </row>
    <row r="113" spans="1:16" ht="15.6" x14ac:dyDescent="0.3">
      <c r="A113" s="49" t="s">
        <v>723</v>
      </c>
      <c r="B113" s="197" t="s">
        <v>84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18" t="s">
        <v>15</v>
      </c>
      <c r="P113" s="96"/>
    </row>
    <row r="114" spans="1:16" ht="15.6" x14ac:dyDescent="0.3">
      <c r="A114" s="49" t="s">
        <v>724</v>
      </c>
      <c r="B114" s="198" t="s">
        <v>84</v>
      </c>
      <c r="C114" s="44">
        <v>0.3</v>
      </c>
      <c r="D114" s="44">
        <v>0.7</v>
      </c>
      <c r="E114" s="44">
        <v>0.7</v>
      </c>
      <c r="F114" s="44">
        <v>0.8</v>
      </c>
      <c r="G114" s="44">
        <v>0.7</v>
      </c>
      <c r="H114" s="44">
        <v>0.7</v>
      </c>
      <c r="I114" s="44">
        <v>0.8</v>
      </c>
      <c r="J114" s="44">
        <v>1</v>
      </c>
      <c r="K114" s="44">
        <v>1.1000000000000001</v>
      </c>
      <c r="L114" s="44">
        <v>0.97</v>
      </c>
      <c r="M114" s="44">
        <v>0.5</v>
      </c>
      <c r="N114" s="44">
        <v>0.7</v>
      </c>
      <c r="O114" s="18" t="s">
        <v>15</v>
      </c>
      <c r="P114" s="96"/>
    </row>
    <row r="115" spans="1:16" ht="15.6" x14ac:dyDescent="0.3">
      <c r="A115" s="49" t="s">
        <v>725</v>
      </c>
      <c r="B115" s="198" t="s">
        <v>84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0.03</v>
      </c>
      <c r="M115" s="44">
        <v>0</v>
      </c>
      <c r="N115" s="44">
        <v>0</v>
      </c>
      <c r="O115" s="18" t="s">
        <v>15</v>
      </c>
      <c r="P115" s="96"/>
    </row>
    <row r="116" spans="1:16" ht="15.6" x14ac:dyDescent="0.3">
      <c r="A116" s="131" t="s">
        <v>102</v>
      </c>
      <c r="B116" s="99" t="s">
        <v>103</v>
      </c>
      <c r="C116" s="87">
        <f>IFERROR(SUM(C113:C115)/C107,"")</f>
        <v>0.99999999999999978</v>
      </c>
      <c r="D116" s="87">
        <f t="shared" ref="D116:N116" si="13">IFERROR(SUM(D113:D115)/D107,"")</f>
        <v>1</v>
      </c>
      <c r="E116" s="87">
        <f t="shared" si="13"/>
        <v>1</v>
      </c>
      <c r="F116" s="87">
        <f t="shared" si="13"/>
        <v>1</v>
      </c>
      <c r="G116" s="87">
        <f t="shared" si="13"/>
        <v>1</v>
      </c>
      <c r="H116" s="87">
        <f t="shared" si="13"/>
        <v>1</v>
      </c>
      <c r="I116" s="87">
        <f t="shared" si="13"/>
        <v>1</v>
      </c>
      <c r="J116" s="87">
        <f t="shared" si="13"/>
        <v>1</v>
      </c>
      <c r="K116" s="87">
        <f t="shared" si="13"/>
        <v>1</v>
      </c>
      <c r="L116" s="87">
        <f t="shared" si="13"/>
        <v>1</v>
      </c>
      <c r="M116" s="87">
        <f t="shared" si="13"/>
        <v>1</v>
      </c>
      <c r="N116" s="87">
        <f t="shared" si="13"/>
        <v>1</v>
      </c>
      <c r="O116" s="105"/>
      <c r="P116" s="96"/>
    </row>
    <row r="117" spans="1:16" ht="15.6" x14ac:dyDescent="0.3">
      <c r="A117" s="96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ht="15.6" x14ac:dyDescent="0.3">
      <c r="A118" s="8" t="s">
        <v>726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16" ht="15.6" x14ac:dyDescent="0.3">
      <c r="A119" s="143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ht="15.6" x14ac:dyDescent="0.3">
      <c r="A120" s="133" t="s">
        <v>727</v>
      </c>
      <c r="B120" s="197" t="s">
        <v>84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ht="15.6" x14ac:dyDescent="0.3">
      <c r="A121" s="133" t="s">
        <v>728</v>
      </c>
      <c r="B121" s="198" t="s">
        <v>84</v>
      </c>
      <c r="C121" s="106">
        <v>81.22</v>
      </c>
      <c r="D121" s="106">
        <v>84.3</v>
      </c>
      <c r="E121" s="106">
        <v>88</v>
      </c>
      <c r="F121" s="106">
        <v>92.199999999999989</v>
      </c>
      <c r="G121" s="106">
        <v>96.6</v>
      </c>
      <c r="H121" s="106">
        <v>101.69999999999999</v>
      </c>
      <c r="I121" s="106">
        <v>108.16000000000001</v>
      </c>
      <c r="J121" s="106">
        <v>114.8</v>
      </c>
      <c r="K121" s="106">
        <v>121.6</v>
      </c>
      <c r="L121" s="106">
        <v>131.1</v>
      </c>
      <c r="M121" s="106">
        <v>135.4</v>
      </c>
      <c r="N121" s="106">
        <v>140.1</v>
      </c>
      <c r="O121" s="18" t="s">
        <v>648</v>
      </c>
      <c r="P121" s="99"/>
    </row>
    <row r="122" spans="1:16" ht="15.6" x14ac:dyDescent="0.3">
      <c r="A122" s="49" t="s">
        <v>729</v>
      </c>
      <c r="B122" s="198" t="s">
        <v>84</v>
      </c>
      <c r="C122" s="44">
        <v>18.7</v>
      </c>
      <c r="D122" s="44">
        <v>18.7</v>
      </c>
      <c r="E122" s="44">
        <v>18.600000000000001</v>
      </c>
      <c r="F122" s="44">
        <v>18.399999999999999</v>
      </c>
      <c r="G122" s="44">
        <v>18.3</v>
      </c>
      <c r="H122" s="44">
        <v>18.5</v>
      </c>
      <c r="I122" s="44">
        <v>18.8</v>
      </c>
      <c r="J122" s="44">
        <v>19</v>
      </c>
      <c r="K122" s="44">
        <v>19.3</v>
      </c>
      <c r="L122" s="44">
        <v>20</v>
      </c>
      <c r="M122" s="44">
        <v>20.200000000000003</v>
      </c>
      <c r="N122" s="44">
        <v>20</v>
      </c>
      <c r="O122" s="18" t="s">
        <v>648</v>
      </c>
      <c r="P122" s="99"/>
    </row>
    <row r="123" spans="1:16" ht="15.6" x14ac:dyDescent="0.3">
      <c r="A123" s="49" t="s">
        <v>730</v>
      </c>
      <c r="B123" s="198" t="s">
        <v>84</v>
      </c>
      <c r="C123" s="44">
        <v>62.5</v>
      </c>
      <c r="D123" s="44">
        <v>65.599999999999994</v>
      </c>
      <c r="E123" s="44">
        <v>69.400000000000006</v>
      </c>
      <c r="F123" s="44">
        <v>73.7</v>
      </c>
      <c r="G123" s="44">
        <v>78.2</v>
      </c>
      <c r="H123" s="44">
        <v>83.1</v>
      </c>
      <c r="I123" s="44">
        <v>89.240000000000009</v>
      </c>
      <c r="J123" s="44">
        <v>95.5</v>
      </c>
      <c r="K123" s="44">
        <v>102</v>
      </c>
      <c r="L123" s="44">
        <v>110.7</v>
      </c>
      <c r="M123" s="44">
        <v>114.7</v>
      </c>
      <c r="N123" s="44">
        <v>119.5</v>
      </c>
      <c r="O123" s="18" t="s">
        <v>15</v>
      </c>
      <c r="P123" s="99"/>
    </row>
    <row r="124" spans="1:16" ht="15.6" x14ac:dyDescent="0.3">
      <c r="A124" s="49" t="s">
        <v>731</v>
      </c>
      <c r="B124" s="198" t="s">
        <v>84</v>
      </c>
      <c r="C124" s="44">
        <v>0.02</v>
      </c>
      <c r="D124" s="44">
        <v>0</v>
      </c>
      <c r="E124" s="44">
        <v>0</v>
      </c>
      <c r="F124" s="44">
        <v>0.1</v>
      </c>
      <c r="G124" s="44">
        <v>0.1</v>
      </c>
      <c r="H124" s="44">
        <v>0.1</v>
      </c>
      <c r="I124" s="44">
        <v>0.12</v>
      </c>
      <c r="J124" s="44">
        <v>0.3</v>
      </c>
      <c r="K124" s="44">
        <v>0.3</v>
      </c>
      <c r="L124" s="44">
        <v>0.4</v>
      </c>
      <c r="M124" s="44">
        <v>0.5</v>
      </c>
      <c r="N124" s="44">
        <v>0.6</v>
      </c>
      <c r="O124" s="18" t="s">
        <v>15</v>
      </c>
      <c r="P124" s="99"/>
    </row>
    <row r="125" spans="1:16" ht="15.6" x14ac:dyDescent="0.3">
      <c r="A125" s="131" t="s">
        <v>102</v>
      </c>
      <c r="B125" s="99" t="s">
        <v>103</v>
      </c>
      <c r="C125" s="87">
        <f>IFERROR(SUM(C122:C124)/C121,"")</f>
        <v>1</v>
      </c>
      <c r="D125" s="87">
        <f t="shared" ref="D125:N125" si="14">IFERROR(SUM(D122:D124)/D121,"")</f>
        <v>1</v>
      </c>
      <c r="E125" s="87">
        <f t="shared" si="14"/>
        <v>1</v>
      </c>
      <c r="F125" s="87">
        <f t="shared" si="14"/>
        <v>1</v>
      </c>
      <c r="G125" s="87">
        <f t="shared" si="14"/>
        <v>1</v>
      </c>
      <c r="H125" s="87">
        <f t="shared" si="14"/>
        <v>1</v>
      </c>
      <c r="I125" s="87">
        <f t="shared" si="14"/>
        <v>1</v>
      </c>
      <c r="J125" s="87">
        <f t="shared" si="14"/>
        <v>1</v>
      </c>
      <c r="K125" s="87">
        <f t="shared" si="14"/>
        <v>1</v>
      </c>
      <c r="L125" s="87">
        <f t="shared" si="14"/>
        <v>1</v>
      </c>
      <c r="M125" s="87">
        <f t="shared" si="14"/>
        <v>1</v>
      </c>
      <c r="N125" s="87">
        <f t="shared" si="14"/>
        <v>1</v>
      </c>
      <c r="O125" s="105"/>
      <c r="P125" s="99"/>
    </row>
    <row r="126" spans="1:16" x14ac:dyDescent="0.3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1:16" x14ac:dyDescent="0.3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1:16" ht="18" x14ac:dyDescent="0.3">
      <c r="A128" s="2" t="s">
        <v>732</v>
      </c>
      <c r="B128" s="2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143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1:16" ht="15.6" x14ac:dyDescent="0.3">
      <c r="A130" s="49" t="s">
        <v>733</v>
      </c>
      <c r="B130" s="198" t="s">
        <v>734</v>
      </c>
      <c r="C130" s="17">
        <v>15265.530756761473</v>
      </c>
      <c r="D130" s="17">
        <v>14737.634671667071</v>
      </c>
      <c r="E130" s="17">
        <v>14633.162703753917</v>
      </c>
      <c r="F130" s="17">
        <v>14411.493817544295</v>
      </c>
      <c r="G130" s="17">
        <v>14384.929883369694</v>
      </c>
      <c r="H130" s="17">
        <v>13754.557046512076</v>
      </c>
      <c r="I130" s="17">
        <v>13604.383766025901</v>
      </c>
      <c r="J130" s="17">
        <v>13662.298665058064</v>
      </c>
      <c r="K130" s="17">
        <v>14335.259965198455</v>
      </c>
      <c r="L130" s="17">
        <v>13534.457892076063</v>
      </c>
      <c r="M130" s="17">
        <v>12986.723342963187</v>
      </c>
      <c r="N130" s="145"/>
      <c r="O130" s="18" t="s">
        <v>20</v>
      </c>
      <c r="P130" s="18" t="s">
        <v>735</v>
      </c>
    </row>
    <row r="131" spans="1:16" ht="15.6" x14ac:dyDescent="0.3">
      <c r="A131" s="49" t="s">
        <v>736</v>
      </c>
      <c r="B131" s="200" t="s">
        <v>734</v>
      </c>
      <c r="C131" s="17">
        <v>13286.519198629441</v>
      </c>
      <c r="D131" s="17">
        <v>12293.432702986507</v>
      </c>
      <c r="E131" s="17">
        <v>11882.657651477004</v>
      </c>
      <c r="F131" s="17">
        <v>11539.936939856821</v>
      </c>
      <c r="G131" s="17">
        <v>11851.811259042279</v>
      </c>
      <c r="H131" s="17">
        <v>10775.514812148876</v>
      </c>
      <c r="I131" s="17">
        <v>10967.08539175548</v>
      </c>
      <c r="J131" s="17">
        <v>11396.070201293274</v>
      </c>
      <c r="K131" s="17">
        <v>12199.557411730628</v>
      </c>
      <c r="L131" s="17">
        <v>11886.30563531283</v>
      </c>
      <c r="M131" s="17">
        <v>9596.8158808561529</v>
      </c>
      <c r="N131" s="145"/>
      <c r="O131" s="18" t="s">
        <v>20</v>
      </c>
      <c r="P131" s="131" t="s">
        <v>737</v>
      </c>
    </row>
    <row r="132" spans="1:16" ht="15.6" x14ac:dyDescent="0.3">
      <c r="A132" s="49" t="s">
        <v>738</v>
      </c>
      <c r="B132" s="200" t="s">
        <v>734</v>
      </c>
      <c r="C132" s="17">
        <v>20516.878942426105</v>
      </c>
      <c r="D132" s="17">
        <v>20502.915787050963</v>
      </c>
      <c r="E132" s="17">
        <v>20120.389540005654</v>
      </c>
      <c r="F132" s="17">
        <v>19265.300022856038</v>
      </c>
      <c r="G132" s="17">
        <v>18239.5424833939</v>
      </c>
      <c r="H132" s="17">
        <v>18012.604841196124</v>
      </c>
      <c r="I132" s="17">
        <v>17144.441537520648</v>
      </c>
      <c r="J132" s="17">
        <v>16537.004827762434</v>
      </c>
      <c r="K132" s="17">
        <v>16711.442076915544</v>
      </c>
      <c r="L132" s="17">
        <v>15240.413575095425</v>
      </c>
      <c r="M132" s="17">
        <v>16390.02832036206</v>
      </c>
      <c r="N132" s="145"/>
      <c r="O132" s="18" t="s">
        <v>20</v>
      </c>
      <c r="P132" s="131"/>
    </row>
    <row r="133" spans="1:16" ht="15.6" x14ac:dyDescent="0.3">
      <c r="A133" s="49" t="s">
        <v>739</v>
      </c>
      <c r="B133" s="198" t="s">
        <v>734</v>
      </c>
      <c r="C133" s="17">
        <v>3645.0294401359361</v>
      </c>
      <c r="D133" s="17">
        <v>2839.3531981499768</v>
      </c>
      <c r="E133" s="17">
        <v>2572.6585818253229</v>
      </c>
      <c r="F133" s="17">
        <v>2135.622964054407</v>
      </c>
      <c r="G133" s="17">
        <v>2300.4683403801791</v>
      </c>
      <c r="H133" s="17">
        <v>2107.8658892235426</v>
      </c>
      <c r="I133" s="17">
        <v>2026.7058249858903</v>
      </c>
      <c r="J133" s="17">
        <v>1988.5083166523104</v>
      </c>
      <c r="K133" s="17">
        <v>2146.5951772390999</v>
      </c>
      <c r="L133" s="17">
        <v>1534.8671574000759</v>
      </c>
      <c r="M133" s="17">
        <v>1204.0059114652488</v>
      </c>
      <c r="N133" s="145"/>
      <c r="O133" s="18" t="s">
        <v>20</v>
      </c>
      <c r="P133" s="131"/>
    </row>
    <row r="134" spans="1:16" ht="15.6" x14ac:dyDescent="0.3">
      <c r="A134" s="49" t="s">
        <v>740</v>
      </c>
      <c r="B134" s="198" t="s">
        <v>734</v>
      </c>
      <c r="C134" s="17">
        <v>20818.086550266871</v>
      </c>
      <c r="D134" s="17">
        <v>21150.474832734486</v>
      </c>
      <c r="E134" s="17">
        <v>21681.551991981825</v>
      </c>
      <c r="F134" s="17">
        <v>20367.621657368665</v>
      </c>
      <c r="G134" s="17">
        <v>19918.679411392372</v>
      </c>
      <c r="H134" s="17">
        <v>19250.179990818378</v>
      </c>
      <c r="I134" s="17">
        <v>17212.025375610167</v>
      </c>
      <c r="J134" s="17">
        <v>17288.606427550611</v>
      </c>
      <c r="K134" s="17">
        <v>18356.577995429452</v>
      </c>
      <c r="L134" s="17">
        <v>17011.927416417129</v>
      </c>
      <c r="M134" s="17">
        <v>16396.714710941957</v>
      </c>
      <c r="N134" s="145"/>
      <c r="O134" s="18" t="s">
        <v>20</v>
      </c>
      <c r="P134" s="131"/>
    </row>
    <row r="135" spans="1:16" ht="15.6" x14ac:dyDescent="0.3">
      <c r="A135" s="49" t="s">
        <v>741</v>
      </c>
      <c r="B135" s="198" t="s">
        <v>734</v>
      </c>
      <c r="C135" s="17">
        <v>45551.687561006256</v>
      </c>
      <c r="D135" s="17">
        <v>49468.055726880135</v>
      </c>
      <c r="E135" s="17">
        <v>48258.323075068547</v>
      </c>
      <c r="F135" s="17">
        <v>46866.273291279431</v>
      </c>
      <c r="G135" s="17">
        <v>45592.440543725737</v>
      </c>
      <c r="H135" s="17">
        <v>46799.316613590832</v>
      </c>
      <c r="I135" s="17">
        <v>40420.505897216302</v>
      </c>
      <c r="J135" s="17">
        <v>40727.96529767364</v>
      </c>
      <c r="K135" s="17">
        <v>42777.46667044895</v>
      </c>
      <c r="L135" s="17">
        <v>41837.296298388435</v>
      </c>
      <c r="M135" s="17">
        <v>38967.921812695095</v>
      </c>
      <c r="N135" s="145"/>
      <c r="O135" s="18" t="s">
        <v>20</v>
      </c>
      <c r="P135" s="131"/>
    </row>
    <row r="136" spans="1:16" ht="15.6" x14ac:dyDescent="0.3">
      <c r="A136" s="49" t="s">
        <v>742</v>
      </c>
      <c r="B136" s="198" t="s">
        <v>734</v>
      </c>
      <c r="C136" s="17">
        <v>34648.980016674017</v>
      </c>
      <c r="D136" s="17">
        <v>36568.474104966037</v>
      </c>
      <c r="E136" s="17">
        <v>36838.922413664259</v>
      </c>
      <c r="F136" s="17">
        <v>32195.884861810075</v>
      </c>
      <c r="G136" s="17">
        <v>30859.176397099924</v>
      </c>
      <c r="H136" s="17">
        <v>29200.581037809356</v>
      </c>
      <c r="I136" s="17">
        <v>26062.124446837432</v>
      </c>
      <c r="J136" s="17">
        <v>25596.474577504297</v>
      </c>
      <c r="K136" s="17">
        <v>26762.022959836719</v>
      </c>
      <c r="L136" s="17">
        <v>22597.235743023066</v>
      </c>
      <c r="M136" s="17">
        <v>20801.789932049276</v>
      </c>
      <c r="N136" s="145"/>
      <c r="O136" s="18" t="s">
        <v>20</v>
      </c>
      <c r="P136" s="131"/>
    </row>
    <row r="137" spans="1:16" ht="15.6" x14ac:dyDescent="0.3">
      <c r="A137" s="49" t="s">
        <v>743</v>
      </c>
      <c r="B137" s="198" t="s">
        <v>734</v>
      </c>
      <c r="C137" s="17">
        <v>26275.614769995507</v>
      </c>
      <c r="D137" s="17">
        <v>27131.638270947205</v>
      </c>
      <c r="E137" s="17">
        <v>27421.406937391916</v>
      </c>
      <c r="F137" s="17">
        <v>24780.534397251158</v>
      </c>
      <c r="G137" s="17">
        <v>23866.258417567024</v>
      </c>
      <c r="H137" s="17">
        <v>22988.22975649987</v>
      </c>
      <c r="I137" s="17">
        <v>19992.643442056426</v>
      </c>
      <c r="J137" s="17">
        <v>19783.87133588958</v>
      </c>
      <c r="K137" s="17">
        <v>20629.775001909067</v>
      </c>
      <c r="L137" s="17">
        <v>18551.616204422811</v>
      </c>
      <c r="M137" s="17">
        <v>17559.66102257945</v>
      </c>
      <c r="N137" s="145"/>
      <c r="O137" s="18" t="s">
        <v>20</v>
      </c>
      <c r="P137" s="131"/>
    </row>
    <row r="138" spans="1:16" x14ac:dyDescent="0.3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1:16" ht="18" x14ac:dyDescent="0.3">
      <c r="A139" s="2" t="s">
        <v>744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143"/>
      <c r="B140" s="131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1:16" ht="15.6" x14ac:dyDescent="0.3">
      <c r="A141" s="8" t="s">
        <v>745</v>
      </c>
      <c r="B141" s="131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1:16" x14ac:dyDescent="0.3">
      <c r="A142" s="143"/>
      <c r="B142" s="131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1:16" x14ac:dyDescent="0.3">
      <c r="A143" s="133" t="s">
        <v>746</v>
      </c>
      <c r="B143" s="131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1:16" ht="15.6" x14ac:dyDescent="0.3">
      <c r="A144" s="49" t="s">
        <v>747</v>
      </c>
      <c r="B144" s="198" t="s">
        <v>748</v>
      </c>
      <c r="C144" s="17">
        <v>10100</v>
      </c>
      <c r="D144" s="17">
        <v>10381.082222547919</v>
      </c>
      <c r="E144" s="17">
        <v>10808.595077153128</v>
      </c>
      <c r="F144" s="17">
        <v>11246.133322496951</v>
      </c>
      <c r="G144" s="17">
        <v>11852.001342412781</v>
      </c>
      <c r="H144" s="17">
        <v>12331.94848698124</v>
      </c>
      <c r="I144" s="17">
        <v>12840.848785603474</v>
      </c>
      <c r="J144" s="17">
        <v>13081</v>
      </c>
      <c r="K144" s="17">
        <v>13300</v>
      </c>
      <c r="L144" s="17">
        <v>14100</v>
      </c>
      <c r="M144" s="17">
        <v>12400</v>
      </c>
      <c r="N144" s="17">
        <v>12100</v>
      </c>
      <c r="O144" s="18" t="s">
        <v>45</v>
      </c>
      <c r="P144" s="18" t="s">
        <v>749</v>
      </c>
    </row>
    <row r="145" spans="1:16" ht="15.6" x14ac:dyDescent="0.3">
      <c r="A145" s="49" t="s">
        <v>750</v>
      </c>
      <c r="B145" s="198" t="s">
        <v>748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46"/>
      <c r="M145" s="146"/>
      <c r="N145" s="146"/>
      <c r="O145" s="18"/>
      <c r="P145" s="143"/>
    </row>
    <row r="146" spans="1:16" ht="15.6" x14ac:dyDescent="0.3">
      <c r="A146" s="49" t="s">
        <v>751</v>
      </c>
      <c r="B146" s="198" t="s">
        <v>748</v>
      </c>
      <c r="C146" s="17">
        <v>2061.0592999999999</v>
      </c>
      <c r="D146" s="17">
        <v>2070.6943000000001</v>
      </c>
      <c r="E146" s="17">
        <v>2233.5884999999998</v>
      </c>
      <c r="F146" s="17">
        <v>2414.6147999999998</v>
      </c>
      <c r="G146" s="17">
        <v>2392.6965</v>
      </c>
      <c r="H146" s="17">
        <v>3146</v>
      </c>
      <c r="I146" s="17">
        <v>2864.7496999999998</v>
      </c>
      <c r="J146" s="17">
        <v>2808.66</v>
      </c>
      <c r="K146" s="17">
        <v>2787.116</v>
      </c>
      <c r="L146" s="17">
        <v>3099.3148999999999</v>
      </c>
      <c r="M146" s="17">
        <v>1557.3477</v>
      </c>
      <c r="N146" s="17">
        <v>1391.5453</v>
      </c>
      <c r="O146" s="18" t="s">
        <v>8</v>
      </c>
      <c r="P146" s="18" t="s">
        <v>752</v>
      </c>
    </row>
    <row r="147" spans="1:16" ht="15.6" x14ac:dyDescent="0.3">
      <c r="A147" s="49" t="s">
        <v>753</v>
      </c>
      <c r="B147" s="198" t="s">
        <v>748</v>
      </c>
      <c r="C147" s="17">
        <v>319.7466</v>
      </c>
      <c r="D147" s="17">
        <v>307.84800000000001</v>
      </c>
      <c r="E147" s="17">
        <v>328.22219999999999</v>
      </c>
      <c r="F147" s="17">
        <v>298.76389999999998</v>
      </c>
      <c r="G147" s="17">
        <v>338.51819999999998</v>
      </c>
      <c r="H147" s="17">
        <v>343.83140000000003</v>
      </c>
      <c r="I147" s="17">
        <v>372.68670000000003</v>
      </c>
      <c r="J147" s="17">
        <v>365.6053</v>
      </c>
      <c r="K147" s="17">
        <v>500.738</v>
      </c>
      <c r="L147" s="17">
        <v>479.03629999999998</v>
      </c>
      <c r="M147" s="17">
        <v>313.25299999999999</v>
      </c>
      <c r="N147" s="17">
        <v>290.36799999999999</v>
      </c>
      <c r="O147" s="18" t="s">
        <v>8</v>
      </c>
      <c r="P147" s="18" t="s">
        <v>754</v>
      </c>
    </row>
    <row r="148" spans="1:16" ht="15.6" x14ac:dyDescent="0.3">
      <c r="A148" s="49" t="s">
        <v>755</v>
      </c>
      <c r="B148" s="198" t="s">
        <v>748</v>
      </c>
      <c r="C148" s="147">
        <v>247.9</v>
      </c>
      <c r="D148" s="147">
        <v>243</v>
      </c>
      <c r="E148" s="147">
        <v>235.821</v>
      </c>
      <c r="F148" s="147">
        <v>223</v>
      </c>
      <c r="G148" s="147">
        <v>280</v>
      </c>
      <c r="H148" s="147">
        <v>288.685</v>
      </c>
      <c r="I148" s="147">
        <v>315.65300000000002</v>
      </c>
      <c r="J148" s="147">
        <v>306</v>
      </c>
      <c r="K148" s="147">
        <v>416.846</v>
      </c>
      <c r="L148" s="147">
        <v>391.68799999999999</v>
      </c>
      <c r="M148" s="147">
        <v>263.37299999999999</v>
      </c>
      <c r="N148" s="147">
        <v>290.36799999999999</v>
      </c>
      <c r="O148" s="18" t="s">
        <v>8</v>
      </c>
      <c r="P148" s="18" t="s">
        <v>754</v>
      </c>
    </row>
    <row r="149" spans="1:16" ht="15.6" x14ac:dyDescent="0.3">
      <c r="A149" s="49" t="s">
        <v>756</v>
      </c>
      <c r="B149" s="198" t="s">
        <v>748</v>
      </c>
      <c r="C149" s="17">
        <v>71.846600000000009</v>
      </c>
      <c r="D149" s="17">
        <v>64.847999999999999</v>
      </c>
      <c r="E149" s="17">
        <v>92.401200000000003</v>
      </c>
      <c r="F149" s="17">
        <v>75.763899999999992</v>
      </c>
      <c r="G149" s="17">
        <v>58.5182</v>
      </c>
      <c r="H149" s="17">
        <v>55.1464</v>
      </c>
      <c r="I149" s="17">
        <v>57.033699999999996</v>
      </c>
      <c r="J149" s="17">
        <v>59.6053</v>
      </c>
      <c r="K149" s="17">
        <v>83.891999999999996</v>
      </c>
      <c r="L149" s="17">
        <v>87.348300000000023</v>
      </c>
      <c r="M149" s="44">
        <v>49.88</v>
      </c>
      <c r="N149" s="44">
        <v>58</v>
      </c>
      <c r="O149" s="18" t="s">
        <v>8</v>
      </c>
      <c r="P149" s="18" t="s">
        <v>757</v>
      </c>
    </row>
    <row r="150" spans="1:16" ht="15.6" x14ac:dyDescent="0.3">
      <c r="A150" s="49" t="s">
        <v>758</v>
      </c>
      <c r="B150" s="198" t="s">
        <v>748</v>
      </c>
      <c r="C150" s="17">
        <v>32</v>
      </c>
      <c r="D150" s="17">
        <v>33.241</v>
      </c>
      <c r="E150" s="17">
        <v>30.922999999999998</v>
      </c>
      <c r="F150" s="17">
        <v>24.581</v>
      </c>
      <c r="G150" s="17">
        <v>23.256</v>
      </c>
      <c r="H150" s="17">
        <v>22.890999999999998</v>
      </c>
      <c r="I150" s="17">
        <v>20.073</v>
      </c>
      <c r="J150" s="17">
        <v>26.963000000000001</v>
      </c>
      <c r="K150" s="17">
        <v>33.057000000000002</v>
      </c>
      <c r="L150" s="17">
        <v>36.185000000000002</v>
      </c>
      <c r="M150" s="17">
        <v>26.367000000000001</v>
      </c>
      <c r="N150" s="17">
        <v>41.26</v>
      </c>
      <c r="O150" s="18" t="s">
        <v>8</v>
      </c>
      <c r="P150" s="18" t="s">
        <v>759</v>
      </c>
    </row>
    <row r="151" spans="1:16" ht="15.6" x14ac:dyDescent="0.3">
      <c r="A151" s="49" t="s">
        <v>760</v>
      </c>
      <c r="B151" s="198" t="s">
        <v>748</v>
      </c>
      <c r="C151" s="17">
        <v>0.184</v>
      </c>
      <c r="D151" s="17">
        <v>0.155</v>
      </c>
      <c r="E151" s="17">
        <v>0.14899999999999999</v>
      </c>
      <c r="F151" s="17">
        <v>0.28100000000000003</v>
      </c>
      <c r="G151" s="17">
        <v>6.0999999999999999E-2</v>
      </c>
      <c r="H151" s="17">
        <v>6.0999999999999999E-2</v>
      </c>
      <c r="I151" s="17">
        <v>6.3E-2</v>
      </c>
      <c r="J151" s="17">
        <v>0.26800000000000002</v>
      </c>
      <c r="K151" s="17">
        <v>0.3397</v>
      </c>
      <c r="L151" s="17">
        <v>0.57350000000000001</v>
      </c>
      <c r="M151" s="17">
        <v>0.46860000000000002</v>
      </c>
      <c r="N151" s="17">
        <v>0.79159999999999997</v>
      </c>
      <c r="O151" s="18" t="s">
        <v>8</v>
      </c>
      <c r="P151" s="18" t="s">
        <v>761</v>
      </c>
    </row>
    <row r="152" spans="1:16" ht="15.6" x14ac:dyDescent="0.3">
      <c r="A152" s="49" t="s">
        <v>762</v>
      </c>
      <c r="B152" s="198" t="s">
        <v>748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143"/>
    </row>
    <row r="153" spans="1:16" ht="15.6" x14ac:dyDescent="0.3">
      <c r="A153" s="143"/>
      <c r="B153" s="97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1:16" ht="15.6" x14ac:dyDescent="0.3">
      <c r="A154" s="133" t="s">
        <v>763</v>
      </c>
      <c r="B154" s="97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1:16" ht="15.6" x14ac:dyDescent="0.3">
      <c r="A155" s="49" t="s">
        <v>764</v>
      </c>
      <c r="B155" s="198" t="s">
        <v>765</v>
      </c>
      <c r="C155" s="15">
        <v>106.75210000000001</v>
      </c>
      <c r="D155" s="15">
        <v>108.1</v>
      </c>
      <c r="E155" s="15">
        <v>119.26389999999999</v>
      </c>
      <c r="F155" s="15">
        <v>148.24350000000001</v>
      </c>
      <c r="G155" s="15">
        <v>149.7851</v>
      </c>
      <c r="H155" s="15">
        <v>154.19999999999999</v>
      </c>
      <c r="I155" s="15">
        <v>155.31870000000001</v>
      </c>
      <c r="J155" s="15">
        <v>158.07</v>
      </c>
      <c r="K155" s="15">
        <v>150.19999999999999</v>
      </c>
      <c r="L155" s="15">
        <v>161.80000000000001</v>
      </c>
      <c r="M155" s="15">
        <v>109.22210000000001</v>
      </c>
      <c r="N155" s="15">
        <v>97.183199999999999</v>
      </c>
      <c r="O155" s="18" t="s">
        <v>8</v>
      </c>
      <c r="P155" s="18" t="s">
        <v>766</v>
      </c>
    </row>
    <row r="156" spans="1:16" ht="15.6" x14ac:dyDescent="0.3">
      <c r="A156" s="49" t="s">
        <v>767</v>
      </c>
      <c r="B156" s="198" t="s">
        <v>765</v>
      </c>
      <c r="C156" s="15">
        <v>4.7990000000000004</v>
      </c>
      <c r="D156" s="15">
        <v>4.7359999999999998</v>
      </c>
      <c r="E156" s="15">
        <v>4.4160000000000004</v>
      </c>
      <c r="F156" s="15">
        <v>4.2</v>
      </c>
      <c r="G156" s="15">
        <v>5.9</v>
      </c>
      <c r="H156" s="15">
        <v>6.5860000000000003</v>
      </c>
      <c r="I156" s="15">
        <v>6.92</v>
      </c>
      <c r="J156" s="15">
        <v>7.4329999999999998</v>
      </c>
      <c r="K156" s="15">
        <v>7.7590000000000003</v>
      </c>
      <c r="L156" s="15">
        <v>8.3730499999999992</v>
      </c>
      <c r="M156" s="15">
        <v>5.9847000000000001</v>
      </c>
      <c r="N156" s="15">
        <v>6.077</v>
      </c>
      <c r="O156" s="18" t="s">
        <v>8</v>
      </c>
      <c r="P156" s="18" t="s">
        <v>768</v>
      </c>
    </row>
    <row r="157" spans="1:16" ht="15.6" x14ac:dyDescent="0.3">
      <c r="A157" s="49" t="s">
        <v>769</v>
      </c>
      <c r="B157" s="198" t="s">
        <v>765</v>
      </c>
      <c r="C157" s="15">
        <v>4.8</v>
      </c>
      <c r="D157" s="15">
        <v>4.9047780000000003</v>
      </c>
      <c r="E157" s="15">
        <v>4.2135660000000001</v>
      </c>
      <c r="F157" s="15">
        <v>3.2059389999999999</v>
      </c>
      <c r="G157" s="15">
        <v>2.9145099999999999</v>
      </c>
      <c r="H157" s="15">
        <v>3.4217070000000001</v>
      </c>
      <c r="I157" s="15">
        <v>2.9866229999999998</v>
      </c>
      <c r="J157" s="15">
        <v>4.2244859999999997</v>
      </c>
      <c r="K157" s="15">
        <v>4.796449</v>
      </c>
      <c r="L157" s="15">
        <v>5.3228879999999998</v>
      </c>
      <c r="M157" s="15">
        <v>4.1539159999999997</v>
      </c>
      <c r="N157" s="15">
        <v>6.730531</v>
      </c>
      <c r="O157" s="18" t="s">
        <v>8</v>
      </c>
      <c r="P157" s="18" t="s">
        <v>770</v>
      </c>
    </row>
    <row r="158" spans="1:16" ht="15.6" x14ac:dyDescent="0.3">
      <c r="A158" s="49" t="s">
        <v>771</v>
      </c>
      <c r="B158" s="198" t="s">
        <v>765</v>
      </c>
      <c r="C158" s="15">
        <v>1.3846579999999999</v>
      </c>
      <c r="D158" s="15">
        <v>1.9106080000000001</v>
      </c>
      <c r="E158" s="15">
        <v>2.2025009999999998</v>
      </c>
      <c r="F158" s="15">
        <v>1.9586220000000001</v>
      </c>
      <c r="G158" s="15">
        <v>2.0198740000000002</v>
      </c>
      <c r="H158" s="15">
        <v>2.1623350000000001</v>
      </c>
      <c r="I158" s="15">
        <v>2.215875</v>
      </c>
      <c r="J158" s="15">
        <v>2.6369090000000002</v>
      </c>
      <c r="K158" s="15">
        <v>2.9958300000000002</v>
      </c>
      <c r="L158" s="15">
        <v>3.2583229999999999</v>
      </c>
      <c r="M158" s="15">
        <v>0.85816499999999996</v>
      </c>
      <c r="N158" s="15">
        <v>1.293115</v>
      </c>
      <c r="O158" s="18" t="s">
        <v>8</v>
      </c>
      <c r="P158" s="18" t="s">
        <v>770</v>
      </c>
    </row>
    <row r="159" spans="1:16" ht="15.6" x14ac:dyDescent="0.3">
      <c r="A159" s="49" t="s">
        <v>772</v>
      </c>
      <c r="B159" s="198" t="s">
        <v>84</v>
      </c>
      <c r="C159" s="15">
        <v>14.7</v>
      </c>
      <c r="D159" s="15">
        <v>16</v>
      </c>
      <c r="E159" s="15">
        <v>15</v>
      </c>
      <c r="F159" s="15">
        <v>17</v>
      </c>
      <c r="G159" s="15">
        <v>10.9</v>
      </c>
      <c r="H159" s="15">
        <v>10.9</v>
      </c>
      <c r="I159" s="15">
        <v>12.6</v>
      </c>
      <c r="J159" s="15">
        <v>19.2</v>
      </c>
      <c r="K159" s="15">
        <v>17.100000000000001</v>
      </c>
      <c r="L159" s="15">
        <v>28.5</v>
      </c>
      <c r="M159" s="15">
        <v>25.9</v>
      </c>
      <c r="N159" s="15">
        <v>42.7</v>
      </c>
      <c r="O159" s="18" t="s">
        <v>8</v>
      </c>
      <c r="P159" s="18" t="s">
        <v>773</v>
      </c>
    </row>
    <row r="160" spans="1:16" x14ac:dyDescent="0.3">
      <c r="A160" s="143"/>
      <c r="B160" s="2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1:16" ht="15.6" x14ac:dyDescent="0.3">
      <c r="A161" s="8" t="s">
        <v>774</v>
      </c>
      <c r="B161" s="2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1:16" x14ac:dyDescent="0.3">
      <c r="A162" s="143"/>
      <c r="B162" s="2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x14ac:dyDescent="0.3">
      <c r="A163" s="133" t="s">
        <v>775</v>
      </c>
      <c r="B163" s="195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x14ac:dyDescent="0.3">
      <c r="A164" s="49" t="s">
        <v>776</v>
      </c>
      <c r="B164" s="191" t="s">
        <v>777</v>
      </c>
      <c r="C164" s="17">
        <v>1386.6999999999998</v>
      </c>
      <c r="D164" s="17">
        <v>1560</v>
      </c>
      <c r="E164" s="17">
        <v>1599</v>
      </c>
      <c r="F164" s="17">
        <v>1592</v>
      </c>
      <c r="G164" s="17">
        <v>1525.1999999999998</v>
      </c>
      <c r="H164" s="17">
        <v>1523.2000000000007</v>
      </c>
      <c r="I164" s="17">
        <v>1792</v>
      </c>
      <c r="J164" s="17">
        <v>1631.6999999999998</v>
      </c>
      <c r="K164" s="17">
        <v>1686</v>
      </c>
      <c r="L164" s="17">
        <v>1710.1999999999998</v>
      </c>
      <c r="M164" s="17">
        <v>1272.8000000000002</v>
      </c>
      <c r="N164" s="17">
        <v>1800.1999999999998</v>
      </c>
      <c r="O164" s="18" t="s">
        <v>8</v>
      </c>
      <c r="P164" s="18" t="s">
        <v>778</v>
      </c>
    </row>
    <row r="165" spans="1:16" x14ac:dyDescent="0.3">
      <c r="A165" s="49" t="s">
        <v>779</v>
      </c>
      <c r="B165" s="191" t="s">
        <v>777</v>
      </c>
      <c r="C165" s="17">
        <v>6642.3140999999996</v>
      </c>
      <c r="D165" s="17">
        <v>6260.5868</v>
      </c>
      <c r="E165" s="17">
        <v>5126.3995999999997</v>
      </c>
      <c r="F165" s="17">
        <v>4721.5582000000004</v>
      </c>
      <c r="G165" s="17">
        <v>3255.8427999999999</v>
      </c>
      <c r="H165" s="17">
        <v>3114.0661</v>
      </c>
      <c r="I165" s="17">
        <v>2339.1641</v>
      </c>
      <c r="J165" s="17">
        <v>2324.9625000000001</v>
      </c>
      <c r="K165" s="17">
        <v>2594.3813999999998</v>
      </c>
      <c r="L165" s="17">
        <v>2160.2932000000001</v>
      </c>
      <c r="M165" s="17">
        <v>1728.5746999999999</v>
      </c>
      <c r="N165" s="17">
        <v>2128.0322999999999</v>
      </c>
      <c r="O165" s="18" t="s">
        <v>8</v>
      </c>
      <c r="P165" s="18" t="s">
        <v>780</v>
      </c>
    </row>
    <row r="166" spans="1:16" x14ac:dyDescent="0.3">
      <c r="A166" s="49" t="s">
        <v>781</v>
      </c>
      <c r="B166" s="191" t="s">
        <v>777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18" t="s">
        <v>8</v>
      </c>
      <c r="P166" s="143"/>
    </row>
    <row r="167" spans="1:16" x14ac:dyDescent="0.3">
      <c r="A167" s="143"/>
      <c r="B167" s="1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1:16" x14ac:dyDescent="0.3">
      <c r="A168" s="143"/>
      <c r="B168" s="1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1:16" ht="18" x14ac:dyDescent="0.3">
      <c r="A169" s="2" t="s">
        <v>782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3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1:16" ht="15.6" x14ac:dyDescent="0.3">
      <c r="A171" s="8" t="s">
        <v>783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1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8"/>
      <c r="M172" s="148"/>
      <c r="N172" s="148"/>
      <c r="O172" s="143"/>
      <c r="P172" s="143"/>
    </row>
    <row r="173" spans="1:16" x14ac:dyDescent="0.3">
      <c r="A173" s="133" t="s">
        <v>784</v>
      </c>
      <c r="B173" s="143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3"/>
      <c r="P173" s="143"/>
    </row>
    <row r="174" spans="1:16" x14ac:dyDescent="0.3">
      <c r="A174" s="49" t="s">
        <v>785</v>
      </c>
      <c r="B174" s="191" t="s">
        <v>88</v>
      </c>
      <c r="C174" s="44">
        <v>289.39999999999998</v>
      </c>
      <c r="D174" s="44">
        <v>267.98509601605042</v>
      </c>
      <c r="E174" s="44">
        <v>256.42495461927962</v>
      </c>
      <c r="F174" s="44">
        <v>240.6611254418649</v>
      </c>
      <c r="G174" s="44">
        <v>241.71204738702588</v>
      </c>
      <c r="H174" s="44">
        <v>240.6611254418649</v>
      </c>
      <c r="I174" s="44">
        <v>254.32311072895766</v>
      </c>
      <c r="J174" s="44">
        <v>266.93417407088947</v>
      </c>
      <c r="K174" s="44">
        <v>272.18878379669434</v>
      </c>
      <c r="L174" s="44">
        <v>273.23970574185535</v>
      </c>
      <c r="M174" s="44">
        <v>214.38807681284035</v>
      </c>
      <c r="N174" s="44">
        <v>199.67516958058658</v>
      </c>
      <c r="O174" s="18" t="s">
        <v>8</v>
      </c>
      <c r="P174" s="143"/>
    </row>
    <row r="175" spans="1:16" x14ac:dyDescent="0.3">
      <c r="A175" s="49" t="s">
        <v>786</v>
      </c>
      <c r="B175" s="191" t="s">
        <v>88</v>
      </c>
      <c r="C175" s="44">
        <v>389.4</v>
      </c>
      <c r="D175" s="44">
        <v>427.36457437661221</v>
      </c>
      <c r="E175" s="44">
        <v>451.61220980223555</v>
      </c>
      <c r="F175" s="44">
        <v>453.63284608770419</v>
      </c>
      <c r="G175" s="44">
        <v>456.6638005159071</v>
      </c>
      <c r="H175" s="44">
        <v>477.8804815133276</v>
      </c>
      <c r="I175" s="44">
        <v>484.95270851246772</v>
      </c>
      <c r="J175" s="44">
        <v>495.05588993981081</v>
      </c>
      <c r="K175" s="44">
        <v>500.21496130696471</v>
      </c>
      <c r="L175" s="44">
        <v>486.74405273717394</v>
      </c>
      <c r="M175" s="44">
        <v>481.75217349765927</v>
      </c>
      <c r="N175" s="44">
        <v>532.17254227572369</v>
      </c>
      <c r="O175" s="18" t="s">
        <v>8</v>
      </c>
      <c r="P175" s="143"/>
    </row>
    <row r="176" spans="1:16" x14ac:dyDescent="0.3">
      <c r="A176" s="49" t="s">
        <v>787</v>
      </c>
      <c r="B176" s="191" t="s">
        <v>88</v>
      </c>
      <c r="C176" s="44">
        <v>2.2451514282984619</v>
      </c>
      <c r="D176" s="44">
        <v>2.4940885640584693</v>
      </c>
      <c r="E176" s="44">
        <v>3.2461187541798031</v>
      </c>
      <c r="F176" s="44">
        <v>3.8144883920894235</v>
      </c>
      <c r="G176" s="44">
        <v>4.5621715868921378</v>
      </c>
      <c r="H176" s="44">
        <v>5.4413513900831179</v>
      </c>
      <c r="I176" s="44">
        <v>6.1144549536638957</v>
      </c>
      <c r="J176" s="44">
        <v>7.308684436801375</v>
      </c>
      <c r="K176" s="44">
        <v>8.8134135855545992</v>
      </c>
      <c r="L176" s="44">
        <v>10.509219451609821</v>
      </c>
      <c r="M176" s="44">
        <v>10.103181427343078</v>
      </c>
      <c r="N176" s="44">
        <v>10.437565682621573</v>
      </c>
      <c r="O176" s="18" t="s">
        <v>8</v>
      </c>
      <c r="P176" s="143"/>
    </row>
    <row r="177" spans="1:16" x14ac:dyDescent="0.3">
      <c r="A177" s="49" t="s">
        <v>788</v>
      </c>
      <c r="B177" s="191" t="s">
        <v>88</v>
      </c>
      <c r="C177" s="44">
        <v>4.7769179325499185E-2</v>
      </c>
      <c r="D177" s="44">
        <v>0.26273048629024554</v>
      </c>
      <c r="E177" s="44">
        <v>0.5493455622432406</v>
      </c>
      <c r="F177" s="44">
        <v>0.85984522785898532</v>
      </c>
      <c r="G177" s="44">
        <v>1.5763829177414732</v>
      </c>
      <c r="H177" s="44">
        <v>2.7706124008789526</v>
      </c>
      <c r="I177" s="44">
        <v>4.13203401165568</v>
      </c>
      <c r="J177" s="44">
        <v>4.6813795738989201</v>
      </c>
      <c r="K177" s="44">
        <v>7.1176077194993788</v>
      </c>
      <c r="L177" s="44">
        <v>9.1955670201585935</v>
      </c>
      <c r="M177" s="44">
        <v>15.548867870449985</v>
      </c>
      <c r="N177" s="44">
        <v>17.196904557179707</v>
      </c>
      <c r="O177" s="18" t="s">
        <v>8</v>
      </c>
      <c r="P177" s="143"/>
    </row>
    <row r="178" spans="1:16" x14ac:dyDescent="0.3">
      <c r="A178" s="49" t="s">
        <v>789</v>
      </c>
      <c r="B178" s="191" t="s">
        <v>88</v>
      </c>
      <c r="C178" s="44">
        <v>1.9824209420082162</v>
      </c>
      <c r="D178" s="44">
        <v>1.8916595012897679</v>
      </c>
      <c r="E178" s="44">
        <v>1.8916595012897679</v>
      </c>
      <c r="F178" s="44">
        <v>1.8056749785038695</v>
      </c>
      <c r="G178" s="44">
        <v>1.5477214101461736</v>
      </c>
      <c r="H178" s="44">
        <v>1.4617368873602752</v>
      </c>
      <c r="I178" s="44">
        <v>1.4617368873602752</v>
      </c>
      <c r="J178" s="44">
        <v>1.3757523645743766</v>
      </c>
      <c r="K178" s="44">
        <v>1.4617368873602752</v>
      </c>
      <c r="L178" s="44">
        <v>1.4617368873602752</v>
      </c>
      <c r="M178" s="44">
        <v>1.2419986624629789</v>
      </c>
      <c r="N178" s="44">
        <v>1.4569599694277251</v>
      </c>
      <c r="O178" s="18" t="s">
        <v>8</v>
      </c>
      <c r="P178" s="143"/>
    </row>
    <row r="179" spans="1:16" x14ac:dyDescent="0.3">
      <c r="A179" s="49" t="s">
        <v>790</v>
      </c>
      <c r="B179" s="191" t="s">
        <v>88</v>
      </c>
      <c r="C179" s="44">
        <v>7.7386070507308684</v>
      </c>
      <c r="D179" s="44">
        <v>4.4498686347568546</v>
      </c>
      <c r="E179" s="44">
        <v>3.6012419986624629</v>
      </c>
      <c r="F179" s="44">
        <v>3.0565109391420657</v>
      </c>
      <c r="G179" s="44">
        <v>5.1072304624056555</v>
      </c>
      <c r="H179" s="44">
        <v>2.6</v>
      </c>
      <c r="I179" s="44">
        <v>1.91076717301997</v>
      </c>
      <c r="J179" s="44">
        <v>2.4601127352632082</v>
      </c>
      <c r="K179" s="44">
        <v>17.459635043469952</v>
      </c>
      <c r="L179" s="44">
        <v>32.554695710327692</v>
      </c>
      <c r="M179" s="44">
        <v>47.31537212190694</v>
      </c>
      <c r="N179" s="44">
        <v>53.405942485908092</v>
      </c>
      <c r="O179" s="18" t="s">
        <v>8</v>
      </c>
      <c r="P179" s="143"/>
    </row>
    <row r="180" spans="1:16" x14ac:dyDescent="0.3">
      <c r="A180" s="62" t="s">
        <v>791</v>
      </c>
      <c r="B180" s="191" t="s">
        <v>88</v>
      </c>
      <c r="C180" s="44">
        <v>4</v>
      </c>
      <c r="D180" s="44">
        <v>4</v>
      </c>
      <c r="E180" s="44">
        <v>4</v>
      </c>
      <c r="F180" s="44">
        <v>3</v>
      </c>
      <c r="G180" s="44">
        <v>5</v>
      </c>
      <c r="H180" s="44">
        <v>3</v>
      </c>
      <c r="I180" s="44">
        <v>1.9107671730199673</v>
      </c>
      <c r="J180" s="44">
        <v>0.95538358650998367</v>
      </c>
      <c r="K180" s="44">
        <v>4.8963408808636668</v>
      </c>
      <c r="L180" s="44">
        <v>7.3803382057896245</v>
      </c>
      <c r="M180" s="44">
        <v>6.1861087226521443</v>
      </c>
      <c r="N180" s="44">
        <v>4.2275723703066781</v>
      </c>
      <c r="O180" s="18" t="s">
        <v>8</v>
      </c>
      <c r="P180" s="143"/>
    </row>
    <row r="181" spans="1:16" x14ac:dyDescent="0.3">
      <c r="A181" s="62" t="s">
        <v>792</v>
      </c>
      <c r="B181" s="191" t="s">
        <v>88</v>
      </c>
      <c r="C181" s="44">
        <v>3.2483041941339446</v>
      </c>
      <c r="D181" s="44">
        <v>0.64488392089423896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1.5047291487532244</v>
      </c>
      <c r="K181" s="44">
        <v>12.563294162606287</v>
      </c>
      <c r="L181" s="44">
        <v>20.015286137384159</v>
      </c>
      <c r="M181" s="44">
        <v>32.745772427629689</v>
      </c>
      <c r="N181" s="44">
        <v>37.355498232540363</v>
      </c>
      <c r="O181" s="18" t="s">
        <v>8</v>
      </c>
      <c r="P181" s="143"/>
    </row>
    <row r="182" spans="1:16" x14ac:dyDescent="0.3">
      <c r="A182" s="62" t="s">
        <v>793</v>
      </c>
      <c r="B182" s="191"/>
      <c r="C182" s="44">
        <v>4.7769179325499185E-2</v>
      </c>
      <c r="D182" s="44">
        <v>4.7769179325499185E-2</v>
      </c>
      <c r="E182" s="44">
        <v>4.7769179325499185E-2</v>
      </c>
      <c r="F182" s="44">
        <v>4.7769179325499185E-2</v>
      </c>
      <c r="G182" s="44">
        <v>4.7769179325499185E-2</v>
      </c>
      <c r="H182" s="44">
        <v>4.7769179325499185E-2</v>
      </c>
      <c r="I182" s="44">
        <v>4.7769179325499185E-2</v>
      </c>
      <c r="J182" s="44">
        <v>4.7769179325499185E-2</v>
      </c>
      <c r="K182" s="44">
        <v>4.7769179325499185E-2</v>
      </c>
      <c r="L182" s="44">
        <v>5.1590713671539117</v>
      </c>
      <c r="M182" s="44">
        <v>8.3834909716251076</v>
      </c>
      <c r="N182" s="44">
        <v>11.822871883061049</v>
      </c>
      <c r="O182" s="18" t="s">
        <v>8</v>
      </c>
      <c r="P182" s="143"/>
    </row>
    <row r="183" spans="1:16" x14ac:dyDescent="0.3">
      <c r="A183" s="133" t="s">
        <v>794</v>
      </c>
      <c r="B183" s="283" t="s">
        <v>88</v>
      </c>
      <c r="C183" s="331">
        <v>690.81394860036289</v>
      </c>
      <c r="D183" s="331">
        <v>704.44801757905782</v>
      </c>
      <c r="E183" s="331">
        <v>717.32553023789035</v>
      </c>
      <c r="F183" s="331">
        <v>703.83049106716328</v>
      </c>
      <c r="G183" s="331">
        <v>711.16935428011857</v>
      </c>
      <c r="H183" s="331">
        <v>730.81530763351486</v>
      </c>
      <c r="I183" s="331">
        <v>752.89481226712519</v>
      </c>
      <c r="J183" s="331">
        <v>777.81599312123819</v>
      </c>
      <c r="K183" s="331">
        <v>807.25613833954321</v>
      </c>
      <c r="L183" s="331">
        <v>813.7240852202159</v>
      </c>
      <c r="M183" s="331">
        <v>770.34967039266257</v>
      </c>
      <c r="N183" s="331">
        <v>814.29731537212183</v>
      </c>
      <c r="O183" s="18" t="s">
        <v>8</v>
      </c>
      <c r="P183" s="143"/>
    </row>
    <row r="184" spans="1:16" x14ac:dyDescent="0.3">
      <c r="A184" s="24" t="s">
        <v>102</v>
      </c>
      <c r="B184" s="25" t="s">
        <v>103</v>
      </c>
      <c r="C184" s="87">
        <f t="shared" ref="C184:N184" si="15">IFERROR(SUM(C174:C179)/C183,"")</f>
        <v>1</v>
      </c>
      <c r="D184" s="87">
        <f t="shared" si="15"/>
        <v>1</v>
      </c>
      <c r="E184" s="87">
        <f t="shared" si="15"/>
        <v>1</v>
      </c>
      <c r="F184" s="87">
        <f t="shared" si="15"/>
        <v>1</v>
      </c>
      <c r="G184" s="87">
        <f t="shared" si="15"/>
        <v>1</v>
      </c>
      <c r="H184" s="87">
        <f t="shared" si="15"/>
        <v>1</v>
      </c>
      <c r="I184" s="87">
        <f t="shared" si="15"/>
        <v>1</v>
      </c>
      <c r="J184" s="87">
        <f t="shared" si="15"/>
        <v>1</v>
      </c>
      <c r="K184" s="87">
        <f t="shared" si="15"/>
        <v>1</v>
      </c>
      <c r="L184" s="87">
        <f t="shared" si="15"/>
        <v>0.99997651824239053</v>
      </c>
      <c r="M184" s="87">
        <f t="shared" si="15"/>
        <v>1</v>
      </c>
      <c r="N184" s="87">
        <f t="shared" si="15"/>
        <v>1.0000586630686652</v>
      </c>
      <c r="O184" s="105"/>
      <c r="P184" s="143"/>
    </row>
    <row r="185" spans="1:16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5.6" x14ac:dyDescent="0.3">
      <c r="A186" s="8" t="s">
        <v>795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x14ac:dyDescent="0.3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1:16" x14ac:dyDescent="0.3">
      <c r="A188" s="49" t="s">
        <v>796</v>
      </c>
      <c r="B188" s="191" t="s">
        <v>88</v>
      </c>
      <c r="C188" s="17">
        <v>50.515907136715391</v>
      </c>
      <c r="D188" s="17">
        <v>34.350816852966467</v>
      </c>
      <c r="E188" s="17">
        <v>30.309544282029233</v>
      </c>
      <c r="F188" s="17">
        <v>26.268271711092002</v>
      </c>
      <c r="G188" s="17">
        <v>20.206362854686155</v>
      </c>
      <c r="H188" s="17">
        <v>19.196044711951849</v>
      </c>
      <c r="I188" s="17">
        <v>15.5</v>
      </c>
      <c r="J188" s="17">
        <v>15.765004299226137</v>
      </c>
      <c r="K188" s="17">
        <v>14.641</v>
      </c>
      <c r="L188" s="17">
        <v>11.012467755803955</v>
      </c>
      <c r="M188" s="17">
        <v>10.150950606668577</v>
      </c>
      <c r="N188" s="17">
        <v>12.539409572943537</v>
      </c>
      <c r="O188" s="18" t="s">
        <v>8</v>
      </c>
      <c r="P188" s="18" t="s">
        <v>108</v>
      </c>
    </row>
    <row r="189" spans="1:16" x14ac:dyDescent="0.3">
      <c r="A189" s="49" t="s">
        <v>797</v>
      </c>
      <c r="B189" s="191" t="s">
        <v>88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8" t="s">
        <v>8</v>
      </c>
      <c r="P189" s="18" t="s">
        <v>108</v>
      </c>
    </row>
    <row r="190" spans="1:16" x14ac:dyDescent="0.3">
      <c r="A190" s="49" t="s">
        <v>798</v>
      </c>
      <c r="B190" s="191" t="s">
        <v>88</v>
      </c>
      <c r="C190" s="17">
        <v>1.2037833190025795</v>
      </c>
      <c r="D190" s="17">
        <v>1.0318142734307825</v>
      </c>
      <c r="E190" s="17">
        <v>1.0318142734307825</v>
      </c>
      <c r="F190" s="17">
        <v>1.2897678417884779</v>
      </c>
      <c r="G190" s="17">
        <v>0.60189165950128976</v>
      </c>
      <c r="H190" s="17">
        <v>0.51590713671539123</v>
      </c>
      <c r="I190" s="17">
        <v>0.51590713671539123</v>
      </c>
      <c r="J190" s="17">
        <v>1.1177987962166811</v>
      </c>
      <c r="K190" s="17">
        <v>0.85984522785898532</v>
      </c>
      <c r="L190" s="17">
        <v>1.0318142734307825</v>
      </c>
      <c r="M190" s="17">
        <v>0.97926817617273332</v>
      </c>
      <c r="N190" s="17">
        <v>1.122575714149231</v>
      </c>
      <c r="O190" s="18" t="s">
        <v>8</v>
      </c>
      <c r="P190" s="18" t="s">
        <v>108</v>
      </c>
    </row>
    <row r="191" spans="1:16" x14ac:dyDescent="0.3">
      <c r="A191" s="133" t="s">
        <v>799</v>
      </c>
      <c r="B191" s="191" t="s">
        <v>88</v>
      </c>
      <c r="C191" s="30">
        <v>51.719690455717974</v>
      </c>
      <c r="D191" s="30">
        <v>35.38263112639725</v>
      </c>
      <c r="E191" s="30">
        <v>31.341358555460015</v>
      </c>
      <c r="F191" s="30">
        <v>27.55803955288048</v>
      </c>
      <c r="G191" s="30">
        <v>20.808254514187446</v>
      </c>
      <c r="H191" s="30">
        <v>19.71195184866724</v>
      </c>
      <c r="I191" s="30">
        <v>16.015907136715391</v>
      </c>
      <c r="J191" s="30">
        <v>16.882803095442817</v>
      </c>
      <c r="K191" s="30">
        <v>15.500845227858985</v>
      </c>
      <c r="L191" s="30">
        <v>12.044282029234738</v>
      </c>
      <c r="M191" s="30">
        <v>11.130218782841309</v>
      </c>
      <c r="N191" s="30">
        <v>13.661985287092767</v>
      </c>
      <c r="O191" s="18" t="s">
        <v>8</v>
      </c>
      <c r="P191" s="18" t="s">
        <v>108</v>
      </c>
    </row>
    <row r="192" spans="1:16" x14ac:dyDescent="0.3">
      <c r="A192" s="24" t="s">
        <v>102</v>
      </c>
      <c r="B192" s="25" t="s">
        <v>103</v>
      </c>
      <c r="C192" s="87">
        <f>IFERROR(SUM(C188:C190)/C191,"")</f>
        <v>1</v>
      </c>
      <c r="D192" s="87">
        <f t="shared" ref="D192:N192" si="16">IFERROR(SUM(D188:D190)/D191,"")</f>
        <v>1</v>
      </c>
      <c r="E192" s="87">
        <f t="shared" si="16"/>
        <v>1</v>
      </c>
      <c r="F192" s="87">
        <f t="shared" si="16"/>
        <v>1</v>
      </c>
      <c r="G192" s="87">
        <f t="shared" si="16"/>
        <v>1</v>
      </c>
      <c r="H192" s="87">
        <f t="shared" si="16"/>
        <v>1</v>
      </c>
      <c r="I192" s="87">
        <f t="shared" si="16"/>
        <v>1</v>
      </c>
      <c r="J192" s="87">
        <f t="shared" si="16"/>
        <v>1</v>
      </c>
      <c r="K192" s="87">
        <f t="shared" si="16"/>
        <v>1</v>
      </c>
      <c r="L192" s="87">
        <f t="shared" si="16"/>
        <v>1</v>
      </c>
      <c r="M192" s="87">
        <f t="shared" si="16"/>
        <v>1</v>
      </c>
      <c r="N192" s="87">
        <f t="shared" si="16"/>
        <v>1.0000000000000002</v>
      </c>
      <c r="O192" s="105"/>
      <c r="P192" s="143"/>
    </row>
    <row r="193" spans="1:16" x14ac:dyDescent="0.3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1:16" ht="15.6" x14ac:dyDescent="0.3">
      <c r="A194" s="8" t="s">
        <v>800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1:16" x14ac:dyDescent="0.3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x14ac:dyDescent="0.3">
      <c r="A196" s="49" t="s">
        <v>801</v>
      </c>
      <c r="B196" s="191" t="s">
        <v>88</v>
      </c>
      <c r="C196" s="17">
        <v>0.95528804815133272</v>
      </c>
      <c r="D196" s="17">
        <v>1.1591669055125631</v>
      </c>
      <c r="E196" s="17">
        <v>1.0309544282029235</v>
      </c>
      <c r="F196" s="17">
        <v>1.3325690264641252</v>
      </c>
      <c r="G196" s="17">
        <v>1.3451800898060571</v>
      </c>
      <c r="H196" s="17">
        <v>1.420846469857648</v>
      </c>
      <c r="I196" s="17">
        <v>1.1570650616222413</v>
      </c>
      <c r="J196" s="17">
        <v>1.2222222222222223</v>
      </c>
      <c r="K196" s="17">
        <v>1.3640966848189549</v>
      </c>
      <c r="L196" s="17">
        <v>1.3</v>
      </c>
      <c r="M196" s="17">
        <v>1.1942294831374796</v>
      </c>
      <c r="N196" s="17">
        <v>1.8629979936944683</v>
      </c>
      <c r="O196" s="18" t="s">
        <v>8</v>
      </c>
      <c r="P196" s="18" t="s">
        <v>108</v>
      </c>
    </row>
    <row r="197" spans="1:16" x14ac:dyDescent="0.3">
      <c r="A197" s="49" t="s">
        <v>802</v>
      </c>
      <c r="B197" s="191" t="s">
        <v>88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8" t="s">
        <v>8</v>
      </c>
      <c r="P197" s="18" t="s">
        <v>108</v>
      </c>
    </row>
    <row r="198" spans="1:16" x14ac:dyDescent="0.3">
      <c r="A198" s="133" t="s">
        <v>803</v>
      </c>
      <c r="B198" s="283" t="s">
        <v>88</v>
      </c>
      <c r="C198" s="30">
        <v>0.95528999999999997</v>
      </c>
      <c r="D198" s="30">
        <v>1.15917</v>
      </c>
      <c r="E198" s="30">
        <v>1.03095</v>
      </c>
      <c r="F198" s="30">
        <v>1.33257</v>
      </c>
      <c r="G198" s="30">
        <v>1.34518</v>
      </c>
      <c r="H198" s="30">
        <v>1.4208499999999999</v>
      </c>
      <c r="I198" s="30">
        <v>1.15707</v>
      </c>
      <c r="J198" s="30">
        <v>1.2222200000000001</v>
      </c>
      <c r="K198" s="30">
        <v>1.3641000000000001</v>
      </c>
      <c r="L198" s="30">
        <v>1.3</v>
      </c>
      <c r="M198" s="30">
        <v>1.1942294831374796</v>
      </c>
      <c r="N198" s="30">
        <v>1.8629979936944683</v>
      </c>
      <c r="O198" s="18" t="s">
        <v>8</v>
      </c>
      <c r="P198" s="143"/>
    </row>
    <row r="199" spans="1:16" x14ac:dyDescent="0.3">
      <c r="A199" s="24" t="s">
        <v>102</v>
      </c>
      <c r="B199" s="25" t="s">
        <v>103</v>
      </c>
      <c r="C199" s="87">
        <f>IFERROR((C196+C197)/C198,"")</f>
        <v>0.99999795679985426</v>
      </c>
      <c r="D199" s="87">
        <f t="shared" ref="D199:N199" si="17">IFERROR((D196+D197)/D198,"")</f>
        <v>0.99999733042829186</v>
      </c>
      <c r="E199" s="87">
        <f t="shared" si="17"/>
        <v>1.0000042952644876</v>
      </c>
      <c r="F199" s="87">
        <f t="shared" si="17"/>
        <v>0.99999926942984252</v>
      </c>
      <c r="G199" s="87">
        <f t="shared" si="17"/>
        <v>1.000000066761368</v>
      </c>
      <c r="H199" s="87">
        <f t="shared" si="17"/>
        <v>0.99999751547147697</v>
      </c>
      <c r="I199" s="87">
        <f t="shared" si="17"/>
        <v>0.99999573199740832</v>
      </c>
      <c r="J199" s="87">
        <f t="shared" si="17"/>
        <v>1.000001818185124</v>
      </c>
      <c r="K199" s="87">
        <f t="shared" si="17"/>
        <v>0.9999975696935377</v>
      </c>
      <c r="L199" s="87">
        <f t="shared" si="17"/>
        <v>1</v>
      </c>
      <c r="M199" s="87">
        <f t="shared" si="17"/>
        <v>1</v>
      </c>
      <c r="N199" s="87">
        <f t="shared" si="17"/>
        <v>1</v>
      </c>
      <c r="O199" s="105"/>
      <c r="P199" s="143"/>
    </row>
    <row r="200" spans="1:16" x14ac:dyDescent="0.3">
      <c r="A200" s="143"/>
      <c r="B200" s="13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05"/>
      <c r="P200" s="143"/>
    </row>
    <row r="201" spans="1:16" ht="15.6" x14ac:dyDescent="0.3">
      <c r="A201" s="8" t="s">
        <v>804</v>
      </c>
      <c r="B201" s="143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05"/>
      <c r="P201" s="143"/>
    </row>
    <row r="202" spans="1:16" ht="15.6" x14ac:dyDescent="0.3">
      <c r="A202" s="143"/>
      <c r="B202" s="9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05"/>
      <c r="P202" s="143"/>
    </row>
    <row r="203" spans="1:16" x14ac:dyDescent="0.3">
      <c r="A203" s="49" t="s">
        <v>805</v>
      </c>
      <c r="B203" s="191" t="s">
        <v>88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8" t="s">
        <v>8</v>
      </c>
      <c r="P203" s="18" t="s">
        <v>108</v>
      </c>
    </row>
    <row r="204" spans="1:16" x14ac:dyDescent="0.3">
      <c r="A204" s="49" t="s">
        <v>806</v>
      </c>
      <c r="B204" s="191" t="s">
        <v>88</v>
      </c>
      <c r="C204" s="17">
        <v>8.082545141874462</v>
      </c>
      <c r="D204" s="17">
        <v>5.0515907136715388</v>
      </c>
      <c r="E204" s="17">
        <v>4.041272570937231</v>
      </c>
      <c r="F204" s="17">
        <v>4.041272570937231</v>
      </c>
      <c r="G204" s="17">
        <v>6.0619088564058465</v>
      </c>
      <c r="H204" s="17">
        <v>6.0619088564058465</v>
      </c>
      <c r="I204" s="17">
        <v>5.0519999999999996</v>
      </c>
      <c r="J204" s="17">
        <v>6.6135425623387789</v>
      </c>
      <c r="K204" s="17">
        <v>6.4892734307824593</v>
      </c>
      <c r="L204" s="17">
        <v>5.3546861564918311</v>
      </c>
      <c r="M204" s="17">
        <v>6.4727237986051396</v>
      </c>
      <c r="N204" s="17">
        <v>5.9711474156873985</v>
      </c>
      <c r="O204" s="18" t="s">
        <v>8</v>
      </c>
      <c r="P204" s="18" t="s">
        <v>108</v>
      </c>
    </row>
    <row r="205" spans="1:16" x14ac:dyDescent="0.3">
      <c r="A205" s="49" t="s">
        <v>807</v>
      </c>
      <c r="B205" s="191" t="s">
        <v>88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8" t="s">
        <v>8</v>
      </c>
      <c r="P205" s="18" t="s">
        <v>108</v>
      </c>
    </row>
    <row r="206" spans="1:16" x14ac:dyDescent="0.3">
      <c r="A206" s="49" t="s">
        <v>808</v>
      </c>
      <c r="B206" s="191" t="s">
        <v>88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8"/>
      <c r="P206" s="18"/>
    </row>
    <row r="207" spans="1:16" x14ac:dyDescent="0.3">
      <c r="A207" s="49" t="s">
        <v>809</v>
      </c>
      <c r="B207" s="191" t="s">
        <v>88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8"/>
      <c r="P207" s="143"/>
    </row>
    <row r="208" spans="1:16" x14ac:dyDescent="0.3">
      <c r="A208" s="133" t="s">
        <v>810</v>
      </c>
      <c r="B208" s="283" t="s">
        <v>88</v>
      </c>
      <c r="C208" s="30">
        <v>8.082545141874462</v>
      </c>
      <c r="D208" s="30">
        <v>5.0515907136715388</v>
      </c>
      <c r="E208" s="30">
        <v>4.041272570937231</v>
      </c>
      <c r="F208" s="30">
        <v>4.041272570937231</v>
      </c>
      <c r="G208" s="30">
        <v>6.0619088564058465</v>
      </c>
      <c r="H208" s="30">
        <v>6.0619088564058465</v>
      </c>
      <c r="I208" s="30">
        <v>5.0519999999999996</v>
      </c>
      <c r="J208" s="30">
        <v>6.6135425623387789</v>
      </c>
      <c r="K208" s="30">
        <v>6.4892734307824593</v>
      </c>
      <c r="L208" s="30">
        <v>5.3546861564918311</v>
      </c>
      <c r="M208" s="30">
        <v>6.4727237986051396</v>
      </c>
      <c r="N208" s="30">
        <v>5.9711474156873985</v>
      </c>
      <c r="O208" s="18" t="s">
        <v>8</v>
      </c>
      <c r="P208" s="143"/>
    </row>
    <row r="209" spans="1:16" x14ac:dyDescent="0.3">
      <c r="A209" s="24" t="s">
        <v>102</v>
      </c>
      <c r="B209" s="25" t="s">
        <v>103</v>
      </c>
      <c r="C209" s="87">
        <f>IFERROR(SUM(C203:C207)/C208,"")</f>
        <v>1</v>
      </c>
      <c r="D209" s="87">
        <f t="shared" ref="D209:N209" si="18">IFERROR(SUM(D203:D207)/D208,"")</f>
        <v>1</v>
      </c>
      <c r="E209" s="87">
        <f t="shared" si="18"/>
        <v>1</v>
      </c>
      <c r="F209" s="87">
        <f t="shared" si="18"/>
        <v>1</v>
      </c>
      <c r="G209" s="87">
        <f t="shared" si="18"/>
        <v>1</v>
      </c>
      <c r="H209" s="87">
        <f t="shared" si="18"/>
        <v>1</v>
      </c>
      <c r="I209" s="87">
        <f t="shared" si="18"/>
        <v>1</v>
      </c>
      <c r="J209" s="87">
        <f t="shared" si="18"/>
        <v>1</v>
      </c>
      <c r="K209" s="87">
        <f t="shared" si="18"/>
        <v>1</v>
      </c>
      <c r="L209" s="87">
        <f t="shared" si="18"/>
        <v>1</v>
      </c>
      <c r="M209" s="87">
        <f t="shared" si="18"/>
        <v>1</v>
      </c>
      <c r="N209" s="87">
        <f t="shared" si="18"/>
        <v>1</v>
      </c>
      <c r="O209" s="105"/>
      <c r="P209" s="143"/>
    </row>
    <row r="210" spans="1:16" ht="18" x14ac:dyDescent="0.3">
      <c r="A210" s="2" t="s">
        <v>811</v>
      </c>
      <c r="B210" s="25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05"/>
      <c r="P210" s="143"/>
    </row>
    <row r="211" spans="1:16" ht="15.6" x14ac:dyDescent="0.3">
      <c r="A211" s="8" t="s">
        <v>646</v>
      </c>
      <c r="B211" s="25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05"/>
      <c r="P211" s="143"/>
    </row>
    <row r="212" spans="1:16" x14ac:dyDescent="0.3">
      <c r="A212" s="49" t="s">
        <v>812</v>
      </c>
      <c r="B212" s="191" t="s">
        <v>88</v>
      </c>
      <c r="C212" s="17">
        <v>237.19052008430432</v>
      </c>
      <c r="D212" s="17">
        <v>220.10305014243841</v>
      </c>
      <c r="E212" s="17">
        <v>210.94139537266548</v>
      </c>
      <c r="F212" s="17">
        <v>197.77576056648957</v>
      </c>
      <c r="G212" s="17">
        <v>200.51693577656721</v>
      </c>
      <c r="H212" s="17">
        <v>197.97081291332555</v>
      </c>
      <c r="I212" s="17">
        <v>208.25242828973927</v>
      </c>
      <c r="J212" s="17">
        <v>217.76925176151937</v>
      </c>
      <c r="K212" s="17">
        <v>224.77867018062531</v>
      </c>
      <c r="L212" s="17">
        <v>228.3934016037656</v>
      </c>
      <c r="M212" s="17">
        <v>179.13350918382619</v>
      </c>
      <c r="N212" s="281"/>
      <c r="O212" s="18" t="s">
        <v>813</v>
      </c>
      <c r="P212" s="143"/>
    </row>
    <row r="213" spans="1:16" x14ac:dyDescent="0.3">
      <c r="A213" s="49" t="s">
        <v>814</v>
      </c>
      <c r="B213" s="191" t="s">
        <v>88</v>
      </c>
      <c r="C213" s="17">
        <v>119.96871061741183</v>
      </c>
      <c r="D213" s="17">
        <v>137.48395045845487</v>
      </c>
      <c r="E213" s="17">
        <v>153.92215069723716</v>
      </c>
      <c r="F213" s="17">
        <v>161.94093016465126</v>
      </c>
      <c r="G213" s="17">
        <v>168.28144121400942</v>
      </c>
      <c r="H213" s="17">
        <v>179.18640622279483</v>
      </c>
      <c r="I213" s="17">
        <v>182.7555442907896</v>
      </c>
      <c r="J213" s="17">
        <v>187.08789808952454</v>
      </c>
      <c r="K213" s="17">
        <v>193.57909909689195</v>
      </c>
      <c r="L213" s="17">
        <v>191.65716819701413</v>
      </c>
      <c r="M213" s="17">
        <v>195.41677067902157</v>
      </c>
      <c r="N213" s="281"/>
      <c r="O213" s="18" t="s">
        <v>813</v>
      </c>
      <c r="P213" s="143"/>
    </row>
    <row r="214" spans="1:16" x14ac:dyDescent="0.3">
      <c r="A214" s="49" t="s">
        <v>815</v>
      </c>
      <c r="B214" s="191" t="s">
        <v>88</v>
      </c>
      <c r="C214" s="17">
        <v>237.19052008430432</v>
      </c>
      <c r="D214" s="17">
        <v>220.10305014243841</v>
      </c>
      <c r="E214" s="17">
        <v>210.94139537266548</v>
      </c>
      <c r="F214" s="17">
        <v>197.77576056648957</v>
      </c>
      <c r="G214" s="17">
        <v>200.51693577656721</v>
      </c>
      <c r="H214" s="17">
        <v>197.97081291332555</v>
      </c>
      <c r="I214" s="17">
        <v>208.25242828973927</v>
      </c>
      <c r="J214" s="17">
        <v>217.76925176151937</v>
      </c>
      <c r="K214" s="17">
        <v>224.77867018062531</v>
      </c>
      <c r="L214" s="17">
        <v>228.3934016037656</v>
      </c>
      <c r="M214" s="17">
        <v>179.13350918382619</v>
      </c>
      <c r="N214" s="281"/>
      <c r="O214" s="18" t="s">
        <v>813</v>
      </c>
      <c r="P214" s="143"/>
    </row>
    <row r="215" spans="1:16" x14ac:dyDescent="0.3">
      <c r="A215" s="49" t="s">
        <v>816</v>
      </c>
      <c r="B215" s="191" t="s">
        <v>88</v>
      </c>
      <c r="C215" s="17">
        <v>119.96871061741183</v>
      </c>
      <c r="D215" s="17">
        <v>137.48395045845487</v>
      </c>
      <c r="E215" s="17">
        <v>153.92215069723716</v>
      </c>
      <c r="F215" s="17">
        <v>161.94093016465126</v>
      </c>
      <c r="G215" s="17">
        <v>168.28144121400942</v>
      </c>
      <c r="H215" s="17">
        <v>179.18640622279483</v>
      </c>
      <c r="I215" s="17">
        <v>182.7555442907896</v>
      </c>
      <c r="J215" s="17">
        <v>187.08789808952454</v>
      </c>
      <c r="K215" s="17">
        <v>193.57909909689195</v>
      </c>
      <c r="L215" s="17">
        <v>191.65716819701413</v>
      </c>
      <c r="M215" s="17">
        <v>195.41677067902157</v>
      </c>
      <c r="N215" s="281"/>
      <c r="O215" s="18" t="s">
        <v>813</v>
      </c>
      <c r="P215" s="143"/>
    </row>
    <row r="216" spans="1:16" x14ac:dyDescent="0.3">
      <c r="A216" s="49" t="s">
        <v>817</v>
      </c>
      <c r="B216" s="191" t="s">
        <v>88</v>
      </c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105"/>
      <c r="P216" s="143"/>
    </row>
    <row r="217" spans="1:16" x14ac:dyDescent="0.3">
      <c r="A217" s="49" t="s">
        <v>818</v>
      </c>
      <c r="B217" s="191" t="s">
        <v>88</v>
      </c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105"/>
      <c r="P217" s="143"/>
    </row>
    <row r="218" spans="1:16" x14ac:dyDescent="0.3">
      <c r="A218" s="49" t="s">
        <v>819</v>
      </c>
      <c r="B218" s="191" t="s">
        <v>88</v>
      </c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105"/>
      <c r="P218" s="143"/>
    </row>
    <row r="219" spans="1:16" x14ac:dyDescent="0.3">
      <c r="A219" s="49" t="s">
        <v>820</v>
      </c>
      <c r="B219" s="191" t="s">
        <v>88</v>
      </c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105"/>
      <c r="P219" s="143"/>
    </row>
    <row r="220" spans="1:16" x14ac:dyDescent="0.3">
      <c r="A220" s="49" t="s">
        <v>821</v>
      </c>
      <c r="B220" s="191" t="s">
        <v>88</v>
      </c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143"/>
      <c r="P220" s="143"/>
    </row>
    <row r="221" spans="1:16" x14ac:dyDescent="0.3">
      <c r="A221" s="49" t="s">
        <v>822</v>
      </c>
      <c r="B221" s="191" t="s">
        <v>88</v>
      </c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143"/>
      <c r="P221" s="143"/>
    </row>
    <row r="222" spans="1:16" x14ac:dyDescent="0.3">
      <c r="A222" s="133" t="s">
        <v>823</v>
      </c>
      <c r="B222" s="283" t="s">
        <v>88</v>
      </c>
      <c r="C222" s="30">
        <f>C214+C215</f>
        <v>357.15923070171618</v>
      </c>
      <c r="D222" s="30">
        <f t="shared" ref="D222:N222" si="19">D214+D215</f>
        <v>357.58700060089325</v>
      </c>
      <c r="E222" s="30">
        <f t="shared" si="19"/>
        <v>364.86354606990267</v>
      </c>
      <c r="F222" s="30">
        <f t="shared" si="19"/>
        <v>359.71669073114083</v>
      </c>
      <c r="G222" s="30">
        <f t="shared" si="19"/>
        <v>368.79837699057663</v>
      </c>
      <c r="H222" s="30">
        <f t="shared" si="19"/>
        <v>377.15721913612037</v>
      </c>
      <c r="I222" s="30">
        <f t="shared" si="19"/>
        <v>391.00797258052887</v>
      </c>
      <c r="J222" s="30">
        <f t="shared" si="19"/>
        <v>404.85714985104391</v>
      </c>
      <c r="K222" s="30">
        <f t="shared" si="19"/>
        <v>418.35776927751726</v>
      </c>
      <c r="L222" s="30">
        <f t="shared" si="19"/>
        <v>420.05056980077973</v>
      </c>
      <c r="M222" s="30">
        <f t="shared" si="19"/>
        <v>374.55027986284779</v>
      </c>
      <c r="N222" s="30">
        <f t="shared" si="19"/>
        <v>0</v>
      </c>
      <c r="O222" s="143"/>
      <c r="P222" s="143"/>
    </row>
    <row r="223" spans="1:16" x14ac:dyDescent="0.3">
      <c r="A223" s="24" t="s">
        <v>824</v>
      </c>
      <c r="B223" s="25" t="s">
        <v>103</v>
      </c>
      <c r="C223" s="87">
        <f>IFERROR(SUM(C214:C221)/C222,"")</f>
        <v>1</v>
      </c>
      <c r="D223" s="87">
        <f t="shared" ref="D223:N223" si="20">IFERROR(SUM(D214:D221)/D222,"")</f>
        <v>1</v>
      </c>
      <c r="E223" s="87">
        <f t="shared" si="20"/>
        <v>1</v>
      </c>
      <c r="F223" s="87">
        <f t="shared" si="20"/>
        <v>1</v>
      </c>
      <c r="G223" s="87">
        <f t="shared" si="20"/>
        <v>1</v>
      </c>
      <c r="H223" s="87">
        <f t="shared" si="20"/>
        <v>1</v>
      </c>
      <c r="I223" s="87">
        <f t="shared" si="20"/>
        <v>1</v>
      </c>
      <c r="J223" s="87">
        <f t="shared" si="20"/>
        <v>1</v>
      </c>
      <c r="K223" s="87">
        <f t="shared" si="20"/>
        <v>1</v>
      </c>
      <c r="L223" s="87">
        <f t="shared" si="20"/>
        <v>1</v>
      </c>
      <c r="M223" s="87">
        <f t="shared" si="20"/>
        <v>1</v>
      </c>
      <c r="N223" s="87" t="str">
        <f t="shared" si="20"/>
        <v/>
      </c>
      <c r="O223" s="143"/>
      <c r="P223" s="143"/>
    </row>
    <row r="224" spans="1:16" x14ac:dyDescent="0.3">
      <c r="A224" s="24" t="s">
        <v>825</v>
      </c>
      <c r="B224" s="25" t="s">
        <v>103</v>
      </c>
      <c r="C224" s="87">
        <f>IFERROR((SUM(C212:C213)+C216+C217+C221)/C222,"")</f>
        <v>1</v>
      </c>
      <c r="D224" s="87">
        <f t="shared" ref="D224:N224" si="21">IFERROR((SUM(D212:D213)+D216+D217+D221)/D222,"")</f>
        <v>1</v>
      </c>
      <c r="E224" s="87">
        <f t="shared" si="21"/>
        <v>1</v>
      </c>
      <c r="F224" s="87">
        <f t="shared" si="21"/>
        <v>1</v>
      </c>
      <c r="G224" s="87">
        <f t="shared" si="21"/>
        <v>1</v>
      </c>
      <c r="H224" s="87">
        <f t="shared" si="21"/>
        <v>1</v>
      </c>
      <c r="I224" s="87">
        <f t="shared" si="21"/>
        <v>1</v>
      </c>
      <c r="J224" s="87">
        <f t="shared" si="21"/>
        <v>1</v>
      </c>
      <c r="K224" s="87">
        <f t="shared" si="21"/>
        <v>1</v>
      </c>
      <c r="L224" s="87">
        <f t="shared" si="21"/>
        <v>1</v>
      </c>
      <c r="M224" s="87">
        <f t="shared" si="21"/>
        <v>1</v>
      </c>
      <c r="N224" s="87" t="str">
        <f t="shared" si="21"/>
        <v/>
      </c>
      <c r="O224" s="143"/>
      <c r="P224" s="143"/>
    </row>
    <row r="225" spans="1:16" x14ac:dyDescent="0.3">
      <c r="A225" s="24"/>
      <c r="B225" s="25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1:16" x14ac:dyDescent="0.3">
      <c r="A226" s="49" t="s">
        <v>826</v>
      </c>
      <c r="B226" s="191" t="s">
        <v>103</v>
      </c>
      <c r="C226" s="282">
        <f>C180/C174</f>
        <v>1.3821700069108501E-2</v>
      </c>
      <c r="D226" s="282">
        <f t="shared" ref="D226:N226" si="22">D180/D174</f>
        <v>1.4926203208556151E-2</v>
      </c>
      <c r="E226" s="282">
        <f t="shared" si="22"/>
        <v>1.5599105812220567E-2</v>
      </c>
      <c r="F226" s="282">
        <f t="shared" si="22"/>
        <v>1.2465660976578008E-2</v>
      </c>
      <c r="G226" s="282">
        <f t="shared" si="22"/>
        <v>2.0685770750988142E-2</v>
      </c>
      <c r="H226" s="282">
        <f t="shared" si="22"/>
        <v>1.2465660976578008E-2</v>
      </c>
      <c r="I226" s="282">
        <f t="shared" si="22"/>
        <v>7.5131480090157776E-3</v>
      </c>
      <c r="J226" s="282">
        <f t="shared" si="22"/>
        <v>3.5790980672870433E-3</v>
      </c>
      <c r="K226" s="282">
        <f t="shared" si="22"/>
        <v>1.798876798876799E-2</v>
      </c>
      <c r="L226" s="282">
        <f t="shared" si="22"/>
        <v>2.701048951048951E-2</v>
      </c>
      <c r="M226" s="282">
        <f t="shared" si="22"/>
        <v>2.885472370766488E-2</v>
      </c>
      <c r="N226" s="282">
        <f t="shared" si="22"/>
        <v>2.1172248803827752E-2</v>
      </c>
      <c r="O226" s="143"/>
      <c r="P226" s="143"/>
    </row>
    <row r="227" spans="1:16" x14ac:dyDescent="0.3">
      <c r="A227" s="49" t="s">
        <v>827</v>
      </c>
      <c r="B227" s="191" t="s">
        <v>103</v>
      </c>
      <c r="C227" s="282">
        <f>C181/C175</f>
        <v>8.3418186803645225E-3</v>
      </c>
      <c r="D227" s="282">
        <f t="shared" ref="D227:N227" si="23">D181/D175</f>
        <v>1.5089784216085708E-3</v>
      </c>
      <c r="E227" s="282">
        <f t="shared" si="23"/>
        <v>0</v>
      </c>
      <c r="F227" s="282">
        <f t="shared" si="23"/>
        <v>0</v>
      </c>
      <c r="G227" s="282">
        <f t="shared" si="23"/>
        <v>0</v>
      </c>
      <c r="H227" s="282">
        <f t="shared" si="23"/>
        <v>0</v>
      </c>
      <c r="I227" s="282">
        <f t="shared" si="23"/>
        <v>0</v>
      </c>
      <c r="J227" s="282">
        <f t="shared" si="23"/>
        <v>3.0395136778115501E-3</v>
      </c>
      <c r="K227" s="282">
        <f t="shared" si="23"/>
        <v>2.5115790478918973E-2</v>
      </c>
      <c r="L227" s="282">
        <f t="shared" si="23"/>
        <v>4.1120761568281074E-2</v>
      </c>
      <c r="M227" s="282">
        <f t="shared" si="23"/>
        <v>6.797223599405057E-2</v>
      </c>
      <c r="N227" s="282">
        <f t="shared" si="23"/>
        <v>7.0194335981329375E-2</v>
      </c>
      <c r="O227" s="143"/>
      <c r="P227" s="143"/>
    </row>
    <row r="228" spans="1:16" x14ac:dyDescent="0.3">
      <c r="A228" s="24"/>
      <c r="B228" s="25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</row>
    <row r="229" spans="1:16" ht="15.6" x14ac:dyDescent="0.3">
      <c r="A229" s="8" t="s">
        <v>674</v>
      </c>
      <c r="B229" s="25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</row>
    <row r="230" spans="1:16" x14ac:dyDescent="0.3">
      <c r="A230" s="133" t="s">
        <v>828</v>
      </c>
      <c r="B230" s="283" t="s">
        <v>88</v>
      </c>
      <c r="C230" s="44">
        <v>1.3800297370150723</v>
      </c>
      <c r="D230" s="44">
        <v>1.4922520882648875</v>
      </c>
      <c r="E230" s="44">
        <v>2.1478744213964118</v>
      </c>
      <c r="F230" s="44">
        <v>2.2031510418341194</v>
      </c>
      <c r="G230" s="44">
        <v>2.426674767216852</v>
      </c>
      <c r="H230" s="44">
        <v>2.5468315256243943</v>
      </c>
      <c r="I230" s="44">
        <v>2.8150465834345386</v>
      </c>
      <c r="J230" s="44">
        <v>3.0755877559568634</v>
      </c>
      <c r="K230" s="44">
        <v>3.3191802501079155</v>
      </c>
      <c r="L230" s="44">
        <v>3.3993158985097978</v>
      </c>
      <c r="M230" s="44">
        <v>3.4</v>
      </c>
      <c r="N230" s="281"/>
      <c r="O230" s="18" t="s">
        <v>813</v>
      </c>
      <c r="P230" s="143"/>
    </row>
    <row r="231" spans="1:16" x14ac:dyDescent="0.3">
      <c r="A231" s="24"/>
      <c r="B231" s="25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1:16" ht="15.6" x14ac:dyDescent="0.3">
      <c r="A232" s="8" t="s">
        <v>677</v>
      </c>
      <c r="B232" s="198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1:16" x14ac:dyDescent="0.3">
      <c r="A233" s="49" t="s">
        <v>829</v>
      </c>
      <c r="B233" s="191" t="s">
        <v>88</v>
      </c>
      <c r="C233" s="17">
        <v>0.61915447610106711</v>
      </c>
      <c r="D233" s="17">
        <v>0.63401565791818104</v>
      </c>
      <c r="E233" s="17">
        <v>0.40097817666834579</v>
      </c>
      <c r="F233" s="17">
        <v>0.37410009734886179</v>
      </c>
      <c r="G233" s="17">
        <v>0.37698643292992157</v>
      </c>
      <c r="H233" s="17">
        <v>0.36782677083250381</v>
      </c>
      <c r="I233" s="17">
        <v>0.37907075303946608</v>
      </c>
      <c r="J233" s="17">
        <v>0.39092378428527769</v>
      </c>
      <c r="K233" s="17">
        <v>0.5002635520857367</v>
      </c>
      <c r="L233" s="17">
        <v>0.38602468006080098</v>
      </c>
      <c r="M233" s="17">
        <v>0.35508138938201406</v>
      </c>
      <c r="N233" s="281"/>
      <c r="O233" s="18" t="s">
        <v>813</v>
      </c>
      <c r="P233" s="143"/>
    </row>
    <row r="234" spans="1:16" x14ac:dyDescent="0.3">
      <c r="A234" s="49" t="s">
        <v>830</v>
      </c>
      <c r="B234" s="191" t="s">
        <v>88</v>
      </c>
      <c r="C234" s="17">
        <v>21.878009431872798</v>
      </c>
      <c r="D234" s="17">
        <v>22.340721090066815</v>
      </c>
      <c r="E234" s="17">
        <v>22.851912896213513</v>
      </c>
      <c r="F234" s="17">
        <v>22.196403343574396</v>
      </c>
      <c r="G234" s="17">
        <v>21.333886493749674</v>
      </c>
      <c r="H234" s="17">
        <v>21.468506275622651</v>
      </c>
      <c r="I234" s="17">
        <v>20.421698656073566</v>
      </c>
      <c r="J234" s="17">
        <v>20.531851910827992</v>
      </c>
      <c r="K234" s="17">
        <v>20.062874185772504</v>
      </c>
      <c r="L234" s="17">
        <v>18.739458983423702</v>
      </c>
      <c r="M234" s="17">
        <v>18.038974867317819</v>
      </c>
      <c r="N234" s="281"/>
      <c r="O234" s="18" t="s">
        <v>813</v>
      </c>
      <c r="P234" s="143"/>
    </row>
    <row r="235" spans="1:16" x14ac:dyDescent="0.3">
      <c r="A235" s="49" t="s">
        <v>831</v>
      </c>
      <c r="B235" s="191" t="s">
        <v>88</v>
      </c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143"/>
      <c r="P235" s="143"/>
    </row>
    <row r="236" spans="1:16" x14ac:dyDescent="0.3">
      <c r="A236" s="49" t="s">
        <v>832</v>
      </c>
      <c r="B236" s="191" t="s">
        <v>88</v>
      </c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143"/>
      <c r="P236" s="143"/>
    </row>
    <row r="237" spans="1:16" x14ac:dyDescent="0.3">
      <c r="A237" s="49" t="s">
        <v>833</v>
      </c>
      <c r="B237" s="191" t="s">
        <v>88</v>
      </c>
      <c r="C237" s="281"/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143"/>
      <c r="P237" s="143"/>
    </row>
    <row r="238" spans="1:16" x14ac:dyDescent="0.3">
      <c r="A238" s="49" t="s">
        <v>834</v>
      </c>
      <c r="B238" s="191" t="s">
        <v>88</v>
      </c>
      <c r="C238" s="281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143"/>
      <c r="P238" s="143"/>
    </row>
    <row r="239" spans="1:16" x14ac:dyDescent="0.3">
      <c r="A239" s="133" t="s">
        <v>835</v>
      </c>
      <c r="B239" s="283" t="s">
        <v>88</v>
      </c>
      <c r="C239" s="30">
        <f>C233+C234</f>
        <v>22.497163907973864</v>
      </c>
      <c r="D239" s="30">
        <f t="shared" ref="D239:M239" si="24">D233+D234</f>
        <v>22.974736747984995</v>
      </c>
      <c r="E239" s="30">
        <f t="shared" si="24"/>
        <v>23.252891072881859</v>
      </c>
      <c r="F239" s="30">
        <f t="shared" si="24"/>
        <v>22.570503440923257</v>
      </c>
      <c r="G239" s="30">
        <f t="shared" si="24"/>
        <v>21.710872926679595</v>
      </c>
      <c r="H239" s="30">
        <f t="shared" si="24"/>
        <v>21.836333046455156</v>
      </c>
      <c r="I239" s="30">
        <f t="shared" si="24"/>
        <v>20.800769409113034</v>
      </c>
      <c r="J239" s="30">
        <f t="shared" si="24"/>
        <v>20.92277569511327</v>
      </c>
      <c r="K239" s="30">
        <f t="shared" si="24"/>
        <v>20.563137737858241</v>
      </c>
      <c r="L239" s="30">
        <f t="shared" si="24"/>
        <v>19.125483663484502</v>
      </c>
      <c r="M239" s="30">
        <f t="shared" si="24"/>
        <v>18.394056256699834</v>
      </c>
      <c r="N239" s="30"/>
      <c r="O239" s="143"/>
      <c r="P239" s="143"/>
    </row>
    <row r="240" spans="1:16" x14ac:dyDescent="0.3">
      <c r="A240" s="24" t="s">
        <v>102</v>
      </c>
      <c r="B240" s="25"/>
      <c r="C240" s="87">
        <f>IFERROR((C233+C234)/C239,"")</f>
        <v>1</v>
      </c>
      <c r="D240" s="87">
        <f t="shared" ref="D240:N240" si="25">IFERROR((D233+D234)/D239,"")</f>
        <v>1</v>
      </c>
      <c r="E240" s="87">
        <f t="shared" si="25"/>
        <v>1</v>
      </c>
      <c r="F240" s="87">
        <f t="shared" si="25"/>
        <v>1</v>
      </c>
      <c r="G240" s="87">
        <f t="shared" si="25"/>
        <v>1</v>
      </c>
      <c r="H240" s="87">
        <f t="shared" si="25"/>
        <v>1</v>
      </c>
      <c r="I240" s="87">
        <f t="shared" si="25"/>
        <v>1</v>
      </c>
      <c r="J240" s="87">
        <f t="shared" si="25"/>
        <v>1</v>
      </c>
      <c r="K240" s="87">
        <f t="shared" si="25"/>
        <v>1</v>
      </c>
      <c r="L240" s="87">
        <f t="shared" si="25"/>
        <v>1</v>
      </c>
      <c r="M240" s="87">
        <f t="shared" si="25"/>
        <v>1</v>
      </c>
      <c r="N240" s="87" t="str">
        <f t="shared" si="25"/>
        <v/>
      </c>
      <c r="O240" s="143"/>
      <c r="P240" s="143"/>
    </row>
    <row r="241" spans="1:16" x14ac:dyDescent="0.3">
      <c r="A241" s="24"/>
      <c r="B241" s="25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</row>
    <row r="242" spans="1:16" ht="15.6" x14ac:dyDescent="0.3">
      <c r="A242" s="8" t="s">
        <v>693</v>
      </c>
      <c r="B242" s="25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</row>
    <row r="243" spans="1:16" x14ac:dyDescent="0.3">
      <c r="A243" s="49" t="s">
        <v>836</v>
      </c>
      <c r="B243" s="191" t="s">
        <v>88</v>
      </c>
      <c r="C243" s="17">
        <v>41.041304876113898</v>
      </c>
      <c r="D243" s="17">
        <v>37.945358681296256</v>
      </c>
      <c r="E243" s="17">
        <v>35.997361927178304</v>
      </c>
      <c r="F243" s="17">
        <v>33.35279614077723</v>
      </c>
      <c r="G243" s="17">
        <v>33.610126633100478</v>
      </c>
      <c r="H243" s="17">
        <v>33.476697262544846</v>
      </c>
      <c r="I243" s="17">
        <v>35.204118381500599</v>
      </c>
      <c r="J243" s="17">
        <v>37.03100176199591</v>
      </c>
      <c r="K243" s="17">
        <v>38.901866355144236</v>
      </c>
      <c r="L243" s="17">
        <v>39.195919352373807</v>
      </c>
      <c r="M243" s="17">
        <v>31.058470708487899</v>
      </c>
      <c r="N243" s="281"/>
      <c r="O243" s="18" t="s">
        <v>813</v>
      </c>
      <c r="P243" s="143"/>
    </row>
    <row r="244" spans="1:16" x14ac:dyDescent="0.3">
      <c r="A244" s="49" t="s">
        <v>837</v>
      </c>
      <c r="B244" s="191" t="s">
        <v>88</v>
      </c>
      <c r="C244" s="17">
        <v>135.58500516006254</v>
      </c>
      <c r="D244" s="17">
        <v>145.7321173136142</v>
      </c>
      <c r="E244" s="17">
        <v>151.97027261704019</v>
      </c>
      <c r="F244" s="17">
        <v>150.77688864044828</v>
      </c>
      <c r="G244" s="17">
        <v>152.76013513352171</v>
      </c>
      <c r="H244" s="17">
        <v>162.95070974151011</v>
      </c>
      <c r="I244" s="17">
        <v>168.74187691139144</v>
      </c>
      <c r="J244" s="17">
        <v>175.96460348054896</v>
      </c>
      <c r="K244" s="17">
        <v>186.1294508796806</v>
      </c>
      <c r="L244" s="17">
        <v>186.45567816096752</v>
      </c>
      <c r="M244" s="17">
        <v>191.89366343484096</v>
      </c>
      <c r="N244" s="281"/>
      <c r="O244" s="18" t="s">
        <v>813</v>
      </c>
      <c r="P244" s="143"/>
    </row>
    <row r="245" spans="1:16" x14ac:dyDescent="0.3">
      <c r="A245" s="49" t="s">
        <v>838</v>
      </c>
      <c r="B245" s="191" t="s">
        <v>88</v>
      </c>
      <c r="C245" s="281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143"/>
      <c r="P245" s="143"/>
    </row>
    <row r="246" spans="1:16" x14ac:dyDescent="0.3">
      <c r="A246" s="49" t="s">
        <v>839</v>
      </c>
      <c r="B246" s="191" t="s">
        <v>88</v>
      </c>
      <c r="C246" s="281"/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143"/>
      <c r="P246" s="143"/>
    </row>
    <row r="247" spans="1:16" x14ac:dyDescent="0.3">
      <c r="A247" s="49" t="s">
        <v>840</v>
      </c>
      <c r="B247" s="191" t="s">
        <v>88</v>
      </c>
      <c r="C247" s="281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143"/>
      <c r="P247" s="143"/>
    </row>
    <row r="248" spans="1:16" x14ac:dyDescent="0.3">
      <c r="A248" s="49" t="s">
        <v>841</v>
      </c>
      <c r="B248" s="191" t="s">
        <v>88</v>
      </c>
      <c r="C248" s="281"/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143"/>
      <c r="P248" s="143"/>
    </row>
    <row r="249" spans="1:16" x14ac:dyDescent="0.3">
      <c r="A249" s="133" t="s">
        <v>842</v>
      </c>
      <c r="B249" s="283" t="s">
        <v>88</v>
      </c>
      <c r="C249" s="30">
        <f>C243+C244</f>
        <v>176.62631003617645</v>
      </c>
      <c r="D249" s="30">
        <f t="shared" ref="D249:M249" si="26">D243+D244</f>
        <v>183.67747599491045</v>
      </c>
      <c r="E249" s="30">
        <f t="shared" si="26"/>
        <v>187.9676345442185</v>
      </c>
      <c r="F249" s="30">
        <f t="shared" si="26"/>
        <v>184.12968478122551</v>
      </c>
      <c r="G249" s="30">
        <f t="shared" si="26"/>
        <v>186.37026176662221</v>
      </c>
      <c r="H249" s="30">
        <f t="shared" si="26"/>
        <v>196.42740700405494</v>
      </c>
      <c r="I249" s="30">
        <f t="shared" si="26"/>
        <v>203.94599529289204</v>
      </c>
      <c r="J249" s="30">
        <f t="shared" si="26"/>
        <v>212.99560524254485</v>
      </c>
      <c r="K249" s="30">
        <f t="shared" si="26"/>
        <v>225.03131723482483</v>
      </c>
      <c r="L249" s="30">
        <f t="shared" si="26"/>
        <v>225.65159751334133</v>
      </c>
      <c r="M249" s="30">
        <f t="shared" si="26"/>
        <v>222.95213414332886</v>
      </c>
      <c r="N249" s="281"/>
      <c r="O249" s="143"/>
      <c r="P249" s="143"/>
    </row>
    <row r="250" spans="1:16" x14ac:dyDescent="0.3">
      <c r="A250" s="24" t="s">
        <v>102</v>
      </c>
      <c r="B250" s="25"/>
      <c r="C250" s="87">
        <f>IFERROR((C243+C244)/C249,"")</f>
        <v>1</v>
      </c>
      <c r="D250" s="87">
        <f t="shared" ref="D250:N250" si="27">IFERROR((D243+D244)/D249,"")</f>
        <v>1</v>
      </c>
      <c r="E250" s="87">
        <f t="shared" si="27"/>
        <v>1</v>
      </c>
      <c r="F250" s="87">
        <f t="shared" si="27"/>
        <v>1</v>
      </c>
      <c r="G250" s="87">
        <f t="shared" si="27"/>
        <v>1</v>
      </c>
      <c r="H250" s="87">
        <f t="shared" si="27"/>
        <v>1</v>
      </c>
      <c r="I250" s="87">
        <f t="shared" si="27"/>
        <v>1</v>
      </c>
      <c r="J250" s="87">
        <f t="shared" si="27"/>
        <v>1</v>
      </c>
      <c r="K250" s="87">
        <f t="shared" si="27"/>
        <v>1</v>
      </c>
      <c r="L250" s="87">
        <f t="shared" si="27"/>
        <v>1</v>
      </c>
      <c r="M250" s="87">
        <f t="shared" si="27"/>
        <v>1</v>
      </c>
      <c r="N250" s="87" t="str">
        <f t="shared" si="27"/>
        <v/>
      </c>
      <c r="O250" s="143"/>
      <c r="P250" s="143"/>
    </row>
    <row r="251" spans="1:16" x14ac:dyDescent="0.3">
      <c r="A251" s="24"/>
      <c r="B251" s="25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1:16" ht="15.6" x14ac:dyDescent="0.3">
      <c r="A252" s="8" t="s">
        <v>710</v>
      </c>
      <c r="B252" s="25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</row>
    <row r="253" spans="1:16" x14ac:dyDescent="0.3">
      <c r="A253" s="49" t="s">
        <v>843</v>
      </c>
      <c r="B253" s="191" t="s">
        <v>88</v>
      </c>
      <c r="C253" s="17">
        <v>13.168990826465597</v>
      </c>
      <c r="D253" s="17">
        <v>11.810419446132634</v>
      </c>
      <c r="E253" s="17">
        <v>10.937344721371039</v>
      </c>
      <c r="F253" s="17">
        <v>9.9553175954151545</v>
      </c>
      <c r="G253" s="17">
        <v>9.7813237772114547</v>
      </c>
      <c r="H253" s="17">
        <v>9.2989569695375778</v>
      </c>
      <c r="I253" s="17">
        <v>9.5832138942637002</v>
      </c>
      <c r="J253" s="17">
        <v>9.6227925936420338</v>
      </c>
      <c r="K253" s="17">
        <v>9.5851443395947697</v>
      </c>
      <c r="L253" s="17">
        <v>9.2453824129349442</v>
      </c>
      <c r="M253" s="17">
        <v>7.2376878984115169</v>
      </c>
      <c r="N253" s="281"/>
      <c r="O253" s="18" t="s">
        <v>813</v>
      </c>
      <c r="P253" s="143"/>
    </row>
    <row r="254" spans="1:16" x14ac:dyDescent="0.3">
      <c r="A254" s="49" t="s">
        <v>844</v>
      </c>
      <c r="B254" s="191" t="s">
        <v>88</v>
      </c>
      <c r="C254" s="17">
        <v>115.21657898478676</v>
      </c>
      <c r="D254" s="17">
        <v>122.45266943537054</v>
      </c>
      <c r="E254" s="17">
        <v>122.86787359174465</v>
      </c>
      <c r="F254" s="17">
        <v>118.71862393903034</v>
      </c>
      <c r="G254" s="17">
        <v>114.28833767462635</v>
      </c>
      <c r="H254" s="17">
        <v>114.27485927340003</v>
      </c>
      <c r="I254" s="17">
        <v>113.0335886542131</v>
      </c>
      <c r="J254" s="17">
        <v>112.97626560766247</v>
      </c>
      <c r="K254" s="17">
        <v>113.00683130722599</v>
      </c>
      <c r="L254" s="17">
        <v>109.90703353315276</v>
      </c>
      <c r="M254" s="17">
        <v>109.14853694410861</v>
      </c>
      <c r="N254" s="281"/>
      <c r="O254" s="18" t="s">
        <v>813</v>
      </c>
      <c r="P254" s="143"/>
    </row>
    <row r="255" spans="1:16" x14ac:dyDescent="0.3">
      <c r="A255" s="49" t="s">
        <v>845</v>
      </c>
      <c r="B255" s="191" t="s">
        <v>88</v>
      </c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143"/>
      <c r="P255" s="143"/>
    </row>
    <row r="256" spans="1:16" x14ac:dyDescent="0.3">
      <c r="A256" s="49" t="s">
        <v>846</v>
      </c>
      <c r="B256" s="191" t="s">
        <v>88</v>
      </c>
      <c r="C256" s="281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143"/>
      <c r="P256" s="143"/>
    </row>
    <row r="257" spans="1:16" x14ac:dyDescent="0.3">
      <c r="A257" s="49" t="s">
        <v>847</v>
      </c>
      <c r="B257" s="191" t="s">
        <v>88</v>
      </c>
      <c r="C257" s="281"/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143"/>
      <c r="P257" s="143"/>
    </row>
    <row r="258" spans="1:16" x14ac:dyDescent="0.3">
      <c r="A258" s="133" t="s">
        <v>848</v>
      </c>
      <c r="B258" s="191" t="s">
        <v>88</v>
      </c>
      <c r="C258" s="281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143"/>
      <c r="P258" s="143"/>
    </row>
    <row r="259" spans="1:16" x14ac:dyDescent="0.3">
      <c r="A259" s="24" t="s">
        <v>102</v>
      </c>
      <c r="B259" s="283" t="s">
        <v>88</v>
      </c>
      <c r="C259" s="30">
        <f>C253+C254</f>
        <v>128.38556981125237</v>
      </c>
      <c r="D259" s="30">
        <f t="shared" ref="D259:M259" si="28">D253+D254</f>
        <v>134.26308888150317</v>
      </c>
      <c r="E259" s="30">
        <f t="shared" si="28"/>
        <v>133.80521831311569</v>
      </c>
      <c r="F259" s="30">
        <f t="shared" si="28"/>
        <v>128.6739415344455</v>
      </c>
      <c r="G259" s="30">
        <f t="shared" si="28"/>
        <v>124.0696614518378</v>
      </c>
      <c r="H259" s="30">
        <f t="shared" si="28"/>
        <v>123.5738162429376</v>
      </c>
      <c r="I259" s="30">
        <f t="shared" si="28"/>
        <v>122.61680254847681</v>
      </c>
      <c r="J259" s="30">
        <f t="shared" si="28"/>
        <v>122.5990582013045</v>
      </c>
      <c r="K259" s="30">
        <f t="shared" si="28"/>
        <v>122.59197564682077</v>
      </c>
      <c r="L259" s="30">
        <f t="shared" si="28"/>
        <v>119.1524159460877</v>
      </c>
      <c r="M259" s="30">
        <f t="shared" si="28"/>
        <v>116.38622484252014</v>
      </c>
      <c r="N259" s="281"/>
      <c r="O259" s="143"/>
      <c r="P259" s="143"/>
    </row>
    <row r="260" spans="1:16" x14ac:dyDescent="0.3">
      <c r="A260" s="24"/>
      <c r="B260" s="25"/>
      <c r="C260" s="87">
        <f>IFERROR((C253+C254)/C259,"")</f>
        <v>1</v>
      </c>
      <c r="D260" s="87">
        <f t="shared" ref="D260:N260" si="29">IFERROR((D253+D254)/D259,"")</f>
        <v>1</v>
      </c>
      <c r="E260" s="87">
        <f t="shared" si="29"/>
        <v>1</v>
      </c>
      <c r="F260" s="87">
        <f t="shared" si="29"/>
        <v>1</v>
      </c>
      <c r="G260" s="87">
        <f t="shared" si="29"/>
        <v>1</v>
      </c>
      <c r="H260" s="87">
        <f t="shared" si="29"/>
        <v>1</v>
      </c>
      <c r="I260" s="87">
        <f t="shared" si="29"/>
        <v>1</v>
      </c>
      <c r="J260" s="87">
        <f t="shared" si="29"/>
        <v>1</v>
      </c>
      <c r="K260" s="87">
        <f t="shared" si="29"/>
        <v>1</v>
      </c>
      <c r="L260" s="87">
        <f t="shared" si="29"/>
        <v>1</v>
      </c>
      <c r="M260" s="87">
        <f t="shared" si="29"/>
        <v>1</v>
      </c>
      <c r="N260" s="87" t="str">
        <f t="shared" si="29"/>
        <v/>
      </c>
      <c r="O260" s="143"/>
      <c r="P260" s="143"/>
    </row>
    <row r="261" spans="1:16" x14ac:dyDescent="0.3">
      <c r="A261" s="24"/>
      <c r="B261" s="25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</row>
    <row r="262" spans="1:16" x14ac:dyDescent="0.3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</row>
    <row r="263" spans="1:16" ht="18" x14ac:dyDescent="0.3">
      <c r="A263" s="2" t="s">
        <v>849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3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</row>
    <row r="265" spans="1:16" ht="15.6" x14ac:dyDescent="0.3">
      <c r="A265" s="8" t="s">
        <v>850</v>
      </c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</row>
    <row r="266" spans="1:16" x14ac:dyDescent="0.3">
      <c r="A266" s="133" t="s">
        <v>851</v>
      </c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</row>
    <row r="267" spans="1:16" x14ac:dyDescent="0.3">
      <c r="A267" s="49" t="s">
        <v>852</v>
      </c>
      <c r="B267" s="191" t="s">
        <v>853</v>
      </c>
      <c r="C267" s="15">
        <v>8.0692292640657115</v>
      </c>
      <c r="D267" s="15">
        <v>7.9681318282113223</v>
      </c>
      <c r="E267" s="15">
        <v>7.9690511915958666</v>
      </c>
      <c r="F267" s="15">
        <v>7.9305784115142401</v>
      </c>
      <c r="G267" s="15">
        <v>7.8494549614584557</v>
      </c>
      <c r="H267" s="15">
        <v>7.7441303439169591</v>
      </c>
      <c r="I267" s="15">
        <v>7.7582619729558973</v>
      </c>
      <c r="J267" s="15">
        <v>7.7412961274610543</v>
      </c>
      <c r="K267" s="15">
        <v>7.7242904065337052</v>
      </c>
      <c r="L267" s="15">
        <v>7.7378371586419021</v>
      </c>
      <c r="M267" s="15">
        <v>7.5809732310872304</v>
      </c>
      <c r="N267" s="15">
        <v>7.48</v>
      </c>
      <c r="O267" s="18" t="s">
        <v>20</v>
      </c>
      <c r="P267" s="143"/>
    </row>
    <row r="268" spans="1:16" x14ac:dyDescent="0.3">
      <c r="A268" s="49" t="s">
        <v>854</v>
      </c>
      <c r="B268" s="191" t="s">
        <v>853</v>
      </c>
      <c r="C268" s="15">
        <v>8.6797049475057975</v>
      </c>
      <c r="D268" s="15">
        <v>8.6001540036426061</v>
      </c>
      <c r="E268" s="15">
        <v>8.718885017860277</v>
      </c>
      <c r="F268" s="15">
        <v>8.7103349436330433</v>
      </c>
      <c r="G268" s="15">
        <v>8.6677130271270642</v>
      </c>
      <c r="H268" s="15">
        <v>8.5339049564707228</v>
      </c>
      <c r="I268" s="15">
        <v>8.5442947646971081</v>
      </c>
      <c r="J268" s="15">
        <v>8.4528341648816916</v>
      </c>
      <c r="K268" s="15">
        <v>8.5187410530569352</v>
      </c>
      <c r="L268" s="15">
        <v>8.4456861692378684</v>
      </c>
      <c r="M268" s="15">
        <v>8.4145495542076461</v>
      </c>
      <c r="N268" s="15">
        <v>8.25</v>
      </c>
      <c r="O268" s="18" t="s">
        <v>20</v>
      </c>
      <c r="P268" s="143"/>
    </row>
    <row r="269" spans="1:16" x14ac:dyDescent="0.3">
      <c r="A269" s="49" t="s">
        <v>855</v>
      </c>
      <c r="B269" s="191" t="s">
        <v>853</v>
      </c>
      <c r="C269" s="15">
        <v>7.1645165375849098</v>
      </c>
      <c r="D269" s="15">
        <v>7.1169249789970372</v>
      </c>
      <c r="E269" s="15">
        <v>7.1780977307188589</v>
      </c>
      <c r="F269" s="15">
        <v>7.1516135512700227</v>
      </c>
      <c r="G269" s="15">
        <v>7.114102385402969</v>
      </c>
      <c r="H269" s="15">
        <v>7.0865246760084339</v>
      </c>
      <c r="I269" s="15">
        <v>7.0925506007102666</v>
      </c>
      <c r="J269" s="15">
        <v>7.0973319410030715</v>
      </c>
      <c r="K269" s="15">
        <v>7.1172407082490743</v>
      </c>
      <c r="L269" s="15">
        <v>7.0750290144987416</v>
      </c>
      <c r="M269" s="15">
        <v>7.013104590201082</v>
      </c>
      <c r="N269" s="15">
        <v>7.02</v>
      </c>
      <c r="O269" s="18" t="s">
        <v>20</v>
      </c>
      <c r="P269" s="143"/>
    </row>
    <row r="270" spans="1:16" x14ac:dyDescent="0.3">
      <c r="A270" s="49" t="s">
        <v>856</v>
      </c>
      <c r="B270" s="191" t="s">
        <v>853</v>
      </c>
      <c r="C270" s="15">
        <v>3.0764100582258638</v>
      </c>
      <c r="D270" s="15">
        <v>3.0407689761764614</v>
      </c>
      <c r="E270" s="15">
        <v>3.1159877188293925</v>
      </c>
      <c r="F270" s="15">
        <v>3.0449434993150923</v>
      </c>
      <c r="G270" s="15">
        <v>3.0142343574893617</v>
      </c>
      <c r="H270" s="15">
        <v>2.9909407137882726</v>
      </c>
      <c r="I270" s="15">
        <v>3.0030519748666511</v>
      </c>
      <c r="J270" s="15">
        <v>3.0036771327732881</v>
      </c>
      <c r="K270" s="15">
        <v>3.0076240598425565</v>
      </c>
      <c r="L270" s="15">
        <v>2.9792337820250534</v>
      </c>
      <c r="M270" s="15">
        <v>2.9625061130498915</v>
      </c>
      <c r="N270" s="15">
        <v>2.54</v>
      </c>
      <c r="O270" s="18" t="s">
        <v>20</v>
      </c>
      <c r="P270" s="143"/>
    </row>
    <row r="271" spans="1:16" x14ac:dyDescent="0.3">
      <c r="A271" s="49" t="s">
        <v>857</v>
      </c>
      <c r="B271" s="201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</row>
    <row r="272" spans="1:16" x14ac:dyDescent="0.3">
      <c r="A272" s="143"/>
      <c r="B272" s="201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1:17" x14ac:dyDescent="0.3">
      <c r="A273" s="133" t="s">
        <v>858</v>
      </c>
      <c r="B273" s="201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1:17" x14ac:dyDescent="0.3">
      <c r="A274" s="49" t="s">
        <v>859</v>
      </c>
      <c r="B274" s="191" t="s">
        <v>853</v>
      </c>
      <c r="C274" s="155">
        <v>6.6304600000000002</v>
      </c>
      <c r="D274" s="155">
        <v>6.0970199999999997</v>
      </c>
      <c r="E274" s="155">
        <v>6.1515899999999997</v>
      </c>
      <c r="F274" s="155">
        <v>6.0124399999999998</v>
      </c>
      <c r="G274" s="155">
        <v>6</v>
      </c>
      <c r="H274" s="155">
        <v>5.9</v>
      </c>
      <c r="I274" s="155">
        <v>5.8</v>
      </c>
      <c r="J274" s="155">
        <v>5.7</v>
      </c>
      <c r="K274" s="155">
        <v>5.6</v>
      </c>
      <c r="L274" s="155">
        <v>5.5412544722809818</v>
      </c>
      <c r="M274" s="155">
        <v>5.52</v>
      </c>
      <c r="N274" s="155">
        <v>5.51</v>
      </c>
      <c r="O274" s="18" t="s">
        <v>20</v>
      </c>
      <c r="P274" s="18" t="s">
        <v>860</v>
      </c>
      <c r="Q274" s="150" t="s">
        <v>861</v>
      </c>
    </row>
    <row r="275" spans="1:17" x14ac:dyDescent="0.3">
      <c r="A275" s="49" t="s">
        <v>862</v>
      </c>
      <c r="B275" s="191" t="s">
        <v>853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3"/>
      <c r="P275" s="143"/>
    </row>
    <row r="276" spans="1:17" x14ac:dyDescent="0.3">
      <c r="A276" s="49" t="s">
        <v>863</v>
      </c>
      <c r="B276" s="191" t="s">
        <v>853</v>
      </c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3"/>
      <c r="P276" s="143"/>
    </row>
    <row r="277" spans="1:17" x14ac:dyDescent="0.3">
      <c r="A277" s="49" t="s">
        <v>864</v>
      </c>
      <c r="B277" s="191" t="s">
        <v>853</v>
      </c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3"/>
      <c r="P277" s="143"/>
    </row>
    <row r="278" spans="1:17" x14ac:dyDescent="0.3">
      <c r="A278" s="49" t="s">
        <v>865</v>
      </c>
      <c r="B278" s="191" t="s">
        <v>853</v>
      </c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3"/>
      <c r="P278" s="143"/>
    </row>
    <row r="279" spans="1:17" x14ac:dyDescent="0.3">
      <c r="A279" s="49" t="s">
        <v>866</v>
      </c>
      <c r="B279" s="191" t="s">
        <v>853</v>
      </c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3"/>
      <c r="P279" s="143"/>
    </row>
    <row r="280" spans="1:17" x14ac:dyDescent="0.3">
      <c r="A280" s="143"/>
      <c r="B280" s="191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</row>
    <row r="281" spans="1:17" ht="15.6" x14ac:dyDescent="0.3">
      <c r="A281" s="8" t="s">
        <v>674</v>
      </c>
      <c r="B281" s="191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1:17" x14ac:dyDescent="0.3">
      <c r="A282" s="49" t="s">
        <v>867</v>
      </c>
      <c r="B282" s="191" t="s">
        <v>853</v>
      </c>
      <c r="C282" s="206">
        <v>5.3137612884097907</v>
      </c>
      <c r="D282" s="206">
        <v>5.1241694222059246</v>
      </c>
      <c r="E282" s="206">
        <v>4.5053984322974525</v>
      </c>
      <c r="F282" s="206">
        <v>4.2263947050928081</v>
      </c>
      <c r="G282" s="206">
        <v>4.4376914656946527</v>
      </c>
      <c r="H282" s="206">
        <v>4.4722086743494618</v>
      </c>
      <c r="I282" s="206">
        <v>4.5225503645751974</v>
      </c>
      <c r="J282" s="206">
        <v>4.8155385108358715</v>
      </c>
      <c r="K282" s="206">
        <v>4.5637168585725494</v>
      </c>
      <c r="L282" s="206">
        <v>5.03</v>
      </c>
      <c r="M282" s="206">
        <v>5.0577015098813423</v>
      </c>
      <c r="N282" s="206">
        <v>5.01</v>
      </c>
      <c r="O282" s="18" t="s">
        <v>20</v>
      </c>
      <c r="P282" s="143"/>
    </row>
    <row r="283" spans="1:17" x14ac:dyDescent="0.3">
      <c r="A283" s="143"/>
      <c r="B283" s="201"/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18"/>
      <c r="P283" s="143"/>
    </row>
    <row r="284" spans="1:17" ht="15.6" x14ac:dyDescent="0.3">
      <c r="A284" s="8" t="s">
        <v>677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18"/>
      <c r="P284" s="143"/>
    </row>
    <row r="285" spans="1:17" x14ac:dyDescent="0.3">
      <c r="A285" s="49" t="s">
        <v>868</v>
      </c>
      <c r="B285" s="191" t="s">
        <v>853</v>
      </c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8"/>
      <c r="P285" s="143"/>
    </row>
    <row r="286" spans="1:17" x14ac:dyDescent="0.3">
      <c r="A286" s="49" t="s">
        <v>869</v>
      </c>
      <c r="B286" s="191" t="s">
        <v>853</v>
      </c>
      <c r="C286" s="95">
        <v>20.281497485805687</v>
      </c>
      <c r="D286" s="95">
        <v>20.250328601786489</v>
      </c>
      <c r="E286" s="95">
        <v>20.589458108380136</v>
      </c>
      <c r="F286" s="95">
        <v>20.905174948973663</v>
      </c>
      <c r="G286" s="95">
        <v>20.444373219352745</v>
      </c>
      <c r="H286" s="95">
        <v>20.333170879521738</v>
      </c>
      <c r="I286" s="95">
        <v>20.329825495073663</v>
      </c>
      <c r="J286" s="95">
        <v>20.36026101416244</v>
      </c>
      <c r="K286" s="95">
        <v>20.441082675900539</v>
      </c>
      <c r="L286" s="95">
        <v>21.0874157889392</v>
      </c>
      <c r="M286" s="95">
        <v>21.495071762167967</v>
      </c>
      <c r="N286" s="95"/>
      <c r="O286" s="18" t="s">
        <v>20</v>
      </c>
      <c r="P286" s="143"/>
    </row>
    <row r="287" spans="1:17" x14ac:dyDescent="0.3">
      <c r="A287" s="49" t="s">
        <v>870</v>
      </c>
      <c r="B287" s="191" t="s">
        <v>853</v>
      </c>
      <c r="C287" s="95">
        <v>32.165686110892253</v>
      </c>
      <c r="D287" s="95">
        <v>30.719540212646063</v>
      </c>
      <c r="E287" s="95">
        <v>32.090586495030763</v>
      </c>
      <c r="F287" s="95">
        <v>32.098548677447994</v>
      </c>
      <c r="G287" s="95">
        <v>32.145938775273095</v>
      </c>
      <c r="H287" s="95">
        <v>32.169925737525745</v>
      </c>
      <c r="I287" s="95">
        <v>32.184703015007941</v>
      </c>
      <c r="J287" s="95">
        <v>32.20373092845162</v>
      </c>
      <c r="K287" s="95">
        <v>32.189378344630349</v>
      </c>
      <c r="L287" s="95">
        <v>32.249595074507795</v>
      </c>
      <c r="M287" s="95">
        <v>32.182345106679037</v>
      </c>
      <c r="N287" s="95"/>
      <c r="O287" s="18" t="s">
        <v>20</v>
      </c>
      <c r="P287" s="143"/>
    </row>
    <row r="288" spans="1:17" x14ac:dyDescent="0.3">
      <c r="A288" s="49" t="s">
        <v>871</v>
      </c>
      <c r="B288" s="191" t="s">
        <v>853</v>
      </c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00"/>
      <c r="P288" s="143"/>
    </row>
    <row r="289" spans="1:16" x14ac:dyDescent="0.3">
      <c r="A289" s="49" t="s">
        <v>872</v>
      </c>
      <c r="B289" s="191" t="s">
        <v>853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05"/>
      <c r="P289" s="143"/>
    </row>
    <row r="290" spans="1:16" x14ac:dyDescent="0.3">
      <c r="A290" s="143"/>
      <c r="B290" s="191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</row>
    <row r="291" spans="1:16" ht="15.6" x14ac:dyDescent="0.3">
      <c r="A291" s="8" t="s">
        <v>693</v>
      </c>
      <c r="B291" s="191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</row>
    <row r="292" spans="1:16" x14ac:dyDescent="0.3">
      <c r="A292" s="143"/>
      <c r="B292" s="191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</row>
    <row r="293" spans="1:16" x14ac:dyDescent="0.3">
      <c r="A293" s="58" t="s">
        <v>873</v>
      </c>
      <c r="B293" s="191" t="s">
        <v>853</v>
      </c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00"/>
      <c r="P293" s="138"/>
    </row>
    <row r="294" spans="1:16" x14ac:dyDescent="0.3">
      <c r="A294" s="58" t="s">
        <v>874</v>
      </c>
      <c r="B294" s="191" t="s">
        <v>853</v>
      </c>
      <c r="C294" s="95">
        <v>12.684798698483524</v>
      </c>
      <c r="D294" s="95">
        <v>12.257301675496363</v>
      </c>
      <c r="E294" s="95">
        <v>12.244262033404089</v>
      </c>
      <c r="F294" s="95">
        <v>11.929114356919866</v>
      </c>
      <c r="G294" s="95">
        <v>11.381469835134308</v>
      </c>
      <c r="H294" s="95">
        <v>11.325191599670676</v>
      </c>
      <c r="I294" s="95">
        <v>10.71623198159859</v>
      </c>
      <c r="J294" s="95">
        <v>10.425364376194009</v>
      </c>
      <c r="K294" s="95">
        <v>10.201178302694231</v>
      </c>
      <c r="L294" s="95">
        <v>10.52081589142613</v>
      </c>
      <c r="M294" s="95">
        <v>10.30689585355138</v>
      </c>
      <c r="N294" s="140"/>
      <c r="O294" s="18" t="s">
        <v>20</v>
      </c>
      <c r="P294" s="138"/>
    </row>
    <row r="295" spans="1:16" x14ac:dyDescent="0.3">
      <c r="A295" s="58" t="s">
        <v>875</v>
      </c>
      <c r="B295" s="191" t="s">
        <v>853</v>
      </c>
      <c r="C295" s="95">
        <v>8.9145260658547176</v>
      </c>
      <c r="D295" s="95">
        <v>8.446746500762023</v>
      </c>
      <c r="E295" s="95">
        <v>8.9022657829493017</v>
      </c>
      <c r="F295" s="95">
        <v>8.8878841976296066</v>
      </c>
      <c r="G295" s="95">
        <v>8.8224780433509142</v>
      </c>
      <c r="H295" s="95">
        <v>8.7760041319592244</v>
      </c>
      <c r="I295" s="95">
        <v>8.8152629109783796</v>
      </c>
      <c r="J295" s="95">
        <v>8.8100434548683513</v>
      </c>
      <c r="K295" s="95">
        <v>8.7890592922602124</v>
      </c>
      <c r="L295" s="95">
        <v>8.7837059144471112</v>
      </c>
      <c r="M295" s="95">
        <v>8.7410075719842997</v>
      </c>
      <c r="N295" s="140"/>
      <c r="O295" s="18" t="s">
        <v>20</v>
      </c>
      <c r="P295" s="138"/>
    </row>
    <row r="296" spans="1:16" x14ac:dyDescent="0.3">
      <c r="A296" s="58" t="s">
        <v>876</v>
      </c>
      <c r="B296" s="191" t="s">
        <v>853</v>
      </c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8"/>
      <c r="P296" s="138"/>
    </row>
    <row r="297" spans="1:16" x14ac:dyDescent="0.3">
      <c r="A297" s="58" t="s">
        <v>877</v>
      </c>
      <c r="B297" s="191" t="s">
        <v>853</v>
      </c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8"/>
      <c r="P297" s="138"/>
    </row>
    <row r="298" spans="1:16" x14ac:dyDescent="0.3">
      <c r="A298" s="143"/>
      <c r="B298" s="22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8"/>
      <c r="P298" s="138"/>
    </row>
    <row r="299" spans="1:16" ht="15.6" x14ac:dyDescent="0.3">
      <c r="A299" s="8" t="s">
        <v>710</v>
      </c>
      <c r="B299" s="13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8"/>
      <c r="P299" s="138"/>
    </row>
    <row r="300" spans="1:16" x14ac:dyDescent="0.3">
      <c r="A300" s="143"/>
      <c r="B300" s="13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8"/>
      <c r="P300" s="138"/>
    </row>
    <row r="301" spans="1:16" x14ac:dyDescent="0.3">
      <c r="A301" s="58" t="s">
        <v>878</v>
      </c>
      <c r="B301" s="191" t="s">
        <v>853</v>
      </c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8"/>
      <c r="P301" s="138"/>
    </row>
    <row r="302" spans="1:16" x14ac:dyDescent="0.3">
      <c r="A302" s="58" t="s">
        <v>879</v>
      </c>
      <c r="B302" s="191" t="s">
        <v>853</v>
      </c>
      <c r="C302" s="155">
        <v>20.279337969966949</v>
      </c>
      <c r="D302" s="155">
        <v>20.353892218765999</v>
      </c>
      <c r="E302" s="155">
        <v>20.629584887769596</v>
      </c>
      <c r="F302" s="155">
        <v>20.894291649346137</v>
      </c>
      <c r="G302" s="155">
        <v>20.415477497087707</v>
      </c>
      <c r="H302" s="155">
        <v>20.320806935232401</v>
      </c>
      <c r="I302" s="155">
        <v>20.271616998670876</v>
      </c>
      <c r="J302" s="155">
        <v>20.338515890026837</v>
      </c>
      <c r="K302" s="155">
        <v>20.437616502815811</v>
      </c>
      <c r="L302" s="155">
        <v>21.0874157889392</v>
      </c>
      <c r="M302" s="155">
        <v>21.495071762167967</v>
      </c>
      <c r="N302" s="155">
        <v>20.6</v>
      </c>
      <c r="O302" s="18" t="s">
        <v>20</v>
      </c>
      <c r="P302" s="138"/>
    </row>
    <row r="303" spans="1:16" x14ac:dyDescent="0.3">
      <c r="A303" s="58" t="s">
        <v>880</v>
      </c>
      <c r="B303" s="191" t="s">
        <v>853</v>
      </c>
      <c r="C303" s="155">
        <v>23.222426914297525</v>
      </c>
      <c r="D303" s="155">
        <v>23.253562440421106</v>
      </c>
      <c r="E303" s="155">
        <v>23.262194120414243</v>
      </c>
      <c r="F303" s="155">
        <v>23.391341938602331</v>
      </c>
      <c r="G303" s="155">
        <v>23.416800697936232</v>
      </c>
      <c r="H303" s="155">
        <v>23.345421521187195</v>
      </c>
      <c r="I303" s="155">
        <v>23.546983090475006</v>
      </c>
      <c r="J303" s="155">
        <v>23.628378059242156</v>
      </c>
      <c r="K303" s="155">
        <v>23.669568278216733</v>
      </c>
      <c r="L303" s="155">
        <v>22.281354666345308</v>
      </c>
      <c r="M303" s="155">
        <v>23.717775635256285</v>
      </c>
      <c r="N303" s="155">
        <v>23.49</v>
      </c>
      <c r="O303" s="18" t="s">
        <v>20</v>
      </c>
      <c r="P303" s="138"/>
    </row>
    <row r="304" spans="1:16" x14ac:dyDescent="0.3">
      <c r="A304" s="58" t="s">
        <v>847</v>
      </c>
      <c r="B304" s="191" t="s">
        <v>853</v>
      </c>
      <c r="C304" s="151">
        <v>0</v>
      </c>
      <c r="D304" s="151">
        <v>0</v>
      </c>
      <c r="E304" s="151">
        <v>0</v>
      </c>
      <c r="F304" s="151">
        <v>0</v>
      </c>
      <c r="G304" s="151">
        <v>0</v>
      </c>
      <c r="H304" s="151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51">
        <v>0</v>
      </c>
      <c r="O304" s="18" t="s">
        <v>20</v>
      </c>
      <c r="P304" s="138"/>
    </row>
    <row r="305" spans="1:16" x14ac:dyDescent="0.3">
      <c r="A305" s="143"/>
      <c r="B305" s="191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8"/>
      <c r="P305" s="138"/>
    </row>
    <row r="306" spans="1:16" ht="15.6" x14ac:dyDescent="0.3">
      <c r="A306" s="8" t="s">
        <v>726</v>
      </c>
      <c r="B306" s="191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8"/>
      <c r="P306" s="138"/>
    </row>
    <row r="307" spans="1:16" x14ac:dyDescent="0.3">
      <c r="A307" s="143"/>
      <c r="B307" s="191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8"/>
      <c r="P307" s="138"/>
    </row>
    <row r="308" spans="1:16" x14ac:dyDescent="0.3">
      <c r="A308" s="58" t="s">
        <v>881</v>
      </c>
      <c r="B308" s="191" t="s">
        <v>853</v>
      </c>
      <c r="C308" s="155">
        <v>13.449289029765668</v>
      </c>
      <c r="D308" s="155">
        <v>12.768473490104762</v>
      </c>
      <c r="E308" s="155">
        <v>12.699428016039482</v>
      </c>
      <c r="F308" s="155">
        <v>12.385313822604207</v>
      </c>
      <c r="G308" s="155">
        <v>11.824983794298753</v>
      </c>
      <c r="H308" s="155">
        <v>11.83419343286891</v>
      </c>
      <c r="I308" s="155">
        <v>11.137496571397349</v>
      </c>
      <c r="J308" s="155">
        <v>10.814511907113063</v>
      </c>
      <c r="K308" s="155">
        <v>10.462451007808513</v>
      </c>
      <c r="L308" s="155">
        <v>10.716728435472579</v>
      </c>
      <c r="M308" s="155">
        <v>10.452313232789979</v>
      </c>
      <c r="N308" s="155">
        <v>10.44</v>
      </c>
      <c r="O308" s="18" t="s">
        <v>20</v>
      </c>
      <c r="P308" s="138"/>
    </row>
    <row r="309" spans="1:16" x14ac:dyDescent="0.3">
      <c r="A309" s="58" t="s">
        <v>882</v>
      </c>
      <c r="B309" s="191" t="s">
        <v>853</v>
      </c>
      <c r="C309" s="155">
        <v>16.843182376638683</v>
      </c>
      <c r="D309" s="155">
        <v>16.088020596897497</v>
      </c>
      <c r="E309" s="155">
        <v>16.643030464073895</v>
      </c>
      <c r="F309" s="155">
        <v>16.327367109396114</v>
      </c>
      <c r="G309" s="155">
        <v>16.018508770080999</v>
      </c>
      <c r="H309" s="155">
        <v>16.129916323920099</v>
      </c>
      <c r="I309" s="155">
        <v>15.255263352716387</v>
      </c>
      <c r="J309" s="155">
        <v>14.957996711254831</v>
      </c>
      <c r="K309" s="155">
        <v>14.391153260423813</v>
      </c>
      <c r="L309" s="155">
        <v>13.492458018002335</v>
      </c>
      <c r="M309" s="155">
        <v>13.667222727518178</v>
      </c>
      <c r="N309" s="155">
        <v>14.17</v>
      </c>
      <c r="O309" s="18" t="s">
        <v>20</v>
      </c>
      <c r="P309" s="138"/>
    </row>
    <row r="310" spans="1:16" x14ac:dyDescent="0.3">
      <c r="A310" s="58" t="s">
        <v>883</v>
      </c>
      <c r="B310" s="191" t="s">
        <v>853</v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137"/>
      <c r="O310" s="18"/>
      <c r="P310" s="138"/>
    </row>
    <row r="311" spans="1:16" x14ac:dyDescent="0.3">
      <c r="A311" s="58" t="s">
        <v>884</v>
      </c>
      <c r="B311" s="191" t="s">
        <v>853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1">
        <v>0</v>
      </c>
      <c r="O311" s="18" t="s">
        <v>20</v>
      </c>
      <c r="P311" s="138"/>
    </row>
    <row r="312" spans="1:16" x14ac:dyDescent="0.3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05"/>
      <c r="P312" s="138"/>
    </row>
    <row r="313" spans="1:16" ht="18" x14ac:dyDescent="0.3">
      <c r="A313" s="37" t="s">
        <v>183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x14ac:dyDescent="0.3">
      <c r="A314" s="143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</row>
    <row r="315" spans="1:16" ht="15.6" x14ac:dyDescent="0.3">
      <c r="A315" s="8" t="s">
        <v>420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</row>
    <row r="316" spans="1:16" ht="15.6" x14ac:dyDescent="0.3">
      <c r="A316" s="8"/>
      <c r="B316" s="138"/>
      <c r="C316" s="45">
        <v>2010</v>
      </c>
      <c r="D316" s="45">
        <v>2011</v>
      </c>
      <c r="E316" s="45">
        <v>2012</v>
      </c>
      <c r="F316" s="45">
        <v>2013</v>
      </c>
      <c r="G316" s="45">
        <v>2014</v>
      </c>
      <c r="H316" s="45">
        <v>2015</v>
      </c>
      <c r="I316" s="45">
        <v>2016</v>
      </c>
      <c r="J316" s="45">
        <v>2017</v>
      </c>
      <c r="K316" s="45">
        <v>2018</v>
      </c>
      <c r="L316" s="45">
        <v>2019</v>
      </c>
      <c r="M316" s="45">
        <v>2020</v>
      </c>
      <c r="N316" s="45">
        <v>2021</v>
      </c>
      <c r="O316" s="138"/>
      <c r="P316" s="138"/>
    </row>
    <row r="317" spans="1:16" x14ac:dyDescent="0.3">
      <c r="A317" s="58" t="s">
        <v>885</v>
      </c>
      <c r="B317" s="191">
        <v>1</v>
      </c>
      <c r="C317" s="212">
        <f>C328</f>
        <v>1</v>
      </c>
      <c r="D317" s="212">
        <f t="shared" ref="D317:N317" si="30">D328</f>
        <v>1</v>
      </c>
      <c r="E317" s="212">
        <f t="shared" si="30"/>
        <v>1</v>
      </c>
      <c r="F317" s="212">
        <f t="shared" si="30"/>
        <v>1</v>
      </c>
      <c r="G317" s="212">
        <f t="shared" si="30"/>
        <v>1</v>
      </c>
      <c r="H317" s="212">
        <f t="shared" si="30"/>
        <v>1</v>
      </c>
      <c r="I317" s="212">
        <f t="shared" si="30"/>
        <v>1</v>
      </c>
      <c r="J317" s="212">
        <f t="shared" si="30"/>
        <v>1</v>
      </c>
      <c r="K317" s="212">
        <f t="shared" si="30"/>
        <v>1</v>
      </c>
      <c r="L317" s="212">
        <f t="shared" si="30"/>
        <v>1</v>
      </c>
      <c r="M317" s="212">
        <f t="shared" si="30"/>
        <v>1</v>
      </c>
      <c r="N317" s="212">
        <f t="shared" si="30"/>
        <v>1</v>
      </c>
      <c r="O317" s="138"/>
      <c r="P317" s="138"/>
    </row>
    <row r="318" spans="1:16" x14ac:dyDescent="0.3">
      <c r="A318" s="58" t="s">
        <v>886</v>
      </c>
      <c r="B318" s="191">
        <v>1</v>
      </c>
      <c r="C318" s="212">
        <f>C353</f>
        <v>0.99310140680296832</v>
      </c>
      <c r="D318" s="212">
        <f t="shared" ref="D318:N318" si="31">D353</f>
        <v>0.99367808105869049</v>
      </c>
      <c r="E318" s="212">
        <f t="shared" si="31"/>
        <v>0.99262766262533353</v>
      </c>
      <c r="F318" s="212">
        <f t="shared" si="31"/>
        <v>0.99071293497432411</v>
      </c>
      <c r="G318" s="212">
        <f t="shared" si="31"/>
        <v>0.98904127922515106</v>
      </c>
      <c r="H318" s="212">
        <f t="shared" si="31"/>
        <v>0.98731047286303852</v>
      </c>
      <c r="I318" s="212">
        <f t="shared" si="31"/>
        <v>0.98444905495174828</v>
      </c>
      <c r="J318" s="212">
        <f t="shared" si="31"/>
        <v>0.98281622325398565</v>
      </c>
      <c r="K318" s="212">
        <f t="shared" si="31"/>
        <v>0.97845447390689455</v>
      </c>
      <c r="L318" s="212">
        <f t="shared" si="31"/>
        <v>0.96762452669582311</v>
      </c>
      <c r="M318" s="212">
        <f t="shared" si="31"/>
        <v>0.95499839018611443</v>
      </c>
      <c r="N318" s="212">
        <f t="shared" si="31"/>
        <v>0</v>
      </c>
      <c r="O318" s="138"/>
      <c r="P318" s="138"/>
    </row>
    <row r="319" spans="1:16" x14ac:dyDescent="0.3">
      <c r="A319" s="143"/>
      <c r="B319" s="203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</row>
    <row r="320" spans="1:16" ht="15.6" x14ac:dyDescent="0.3">
      <c r="A320" s="8" t="s">
        <v>887</v>
      </c>
      <c r="B320" s="203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</row>
    <row r="321" spans="1:16" x14ac:dyDescent="0.3">
      <c r="A321" s="143"/>
      <c r="B321" s="203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</row>
    <row r="322" spans="1:16" x14ac:dyDescent="0.3">
      <c r="A322" s="154" t="s">
        <v>888</v>
      </c>
      <c r="B322" s="22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</row>
    <row r="323" spans="1:16" x14ac:dyDescent="0.3">
      <c r="A323" s="58" t="s">
        <v>889</v>
      </c>
      <c r="B323" s="191" t="s">
        <v>203</v>
      </c>
      <c r="C323" s="155">
        <f t="shared" ref="C323:N323" si="32">C183/1000</f>
        <v>0.69081394860036294</v>
      </c>
      <c r="D323" s="155">
        <f t="shared" si="32"/>
        <v>0.70444801757905784</v>
      </c>
      <c r="E323" s="155">
        <f t="shared" si="32"/>
        <v>0.71732553023789036</v>
      </c>
      <c r="F323" s="155">
        <f t="shared" si="32"/>
        <v>0.70383049106716333</v>
      </c>
      <c r="G323" s="155">
        <f t="shared" si="32"/>
        <v>0.71116935428011852</v>
      </c>
      <c r="H323" s="155">
        <f t="shared" si="32"/>
        <v>0.73081530763351488</v>
      </c>
      <c r="I323" s="155">
        <f t="shared" si="32"/>
        <v>0.75289481226712518</v>
      </c>
      <c r="J323" s="155">
        <f t="shared" si="32"/>
        <v>0.77781599312123817</v>
      </c>
      <c r="K323" s="155">
        <f t="shared" si="32"/>
        <v>0.80725613833954324</v>
      </c>
      <c r="L323" s="155">
        <f t="shared" si="32"/>
        <v>0.81372408522021589</v>
      </c>
      <c r="M323" s="155">
        <f t="shared" si="32"/>
        <v>0.77034967039266256</v>
      </c>
      <c r="N323" s="155">
        <f t="shared" si="32"/>
        <v>0.8142973153721218</v>
      </c>
      <c r="O323" s="138"/>
      <c r="P323" s="138"/>
    </row>
    <row r="324" spans="1:16" x14ac:dyDescent="0.3">
      <c r="A324" s="58" t="s">
        <v>890</v>
      </c>
      <c r="B324" s="191" t="s">
        <v>203</v>
      </c>
      <c r="C324" s="155">
        <f t="shared" ref="C324:N324" si="33">C191/1000</f>
        <v>5.1719690455717976E-2</v>
      </c>
      <c r="D324" s="155">
        <f t="shared" si="33"/>
        <v>3.5382631126397251E-2</v>
      </c>
      <c r="E324" s="155">
        <f t="shared" si="33"/>
        <v>3.1341358555460018E-2</v>
      </c>
      <c r="F324" s="155">
        <f t="shared" si="33"/>
        <v>2.755803955288048E-2</v>
      </c>
      <c r="G324" s="155">
        <f t="shared" si="33"/>
        <v>2.0808254514187448E-2</v>
      </c>
      <c r="H324" s="155">
        <f t="shared" si="33"/>
        <v>1.9711951848667239E-2</v>
      </c>
      <c r="I324" s="155">
        <f t="shared" si="33"/>
        <v>1.6015907136715392E-2</v>
      </c>
      <c r="J324" s="155">
        <f t="shared" si="33"/>
        <v>1.6882803095442819E-2</v>
      </c>
      <c r="K324" s="155">
        <f t="shared" si="33"/>
        <v>1.5500845227858984E-2</v>
      </c>
      <c r="L324" s="155">
        <f t="shared" si="33"/>
        <v>1.2044282029234738E-2</v>
      </c>
      <c r="M324" s="155">
        <f t="shared" si="33"/>
        <v>1.113021878284131E-2</v>
      </c>
      <c r="N324" s="155">
        <f t="shared" si="33"/>
        <v>1.3661985287092768E-2</v>
      </c>
      <c r="O324" s="138"/>
      <c r="P324" s="138"/>
    </row>
    <row r="325" spans="1:16" x14ac:dyDescent="0.3">
      <c r="A325" s="58" t="s">
        <v>891</v>
      </c>
      <c r="B325" s="191" t="s">
        <v>203</v>
      </c>
      <c r="C325" s="155">
        <f t="shared" ref="C325:N325" si="34">C208/1000</f>
        <v>8.0825451418744618E-3</v>
      </c>
      <c r="D325" s="155">
        <f t="shared" si="34"/>
        <v>5.0515907136715384E-3</v>
      </c>
      <c r="E325" s="155">
        <f t="shared" si="34"/>
        <v>4.0412725709372309E-3</v>
      </c>
      <c r="F325" s="155">
        <f t="shared" si="34"/>
        <v>4.0412725709372309E-3</v>
      </c>
      <c r="G325" s="155">
        <f t="shared" si="34"/>
        <v>6.0619088564058468E-3</v>
      </c>
      <c r="H325" s="155">
        <f t="shared" si="34"/>
        <v>6.0619088564058468E-3</v>
      </c>
      <c r="I325" s="155">
        <f t="shared" si="34"/>
        <v>5.0519999999999992E-3</v>
      </c>
      <c r="J325" s="155">
        <f t="shared" si="34"/>
        <v>6.6135425623387789E-3</v>
      </c>
      <c r="K325" s="155">
        <f t="shared" si="34"/>
        <v>6.4892734307824594E-3</v>
      </c>
      <c r="L325" s="155">
        <f t="shared" si="34"/>
        <v>5.3546861564918308E-3</v>
      </c>
      <c r="M325" s="155">
        <f t="shared" si="34"/>
        <v>6.4727237986051392E-3</v>
      </c>
      <c r="N325" s="155">
        <f t="shared" si="34"/>
        <v>5.9711474156873981E-3</v>
      </c>
      <c r="O325" s="138"/>
      <c r="P325" s="138"/>
    </row>
    <row r="326" spans="1:16" x14ac:dyDescent="0.3">
      <c r="A326" s="58" t="s">
        <v>892</v>
      </c>
      <c r="B326" s="191" t="s">
        <v>203</v>
      </c>
      <c r="C326" s="156">
        <f t="shared" ref="C326:N326" si="35">C198/1000</f>
        <v>9.5529000000000002E-4</v>
      </c>
      <c r="D326" s="156">
        <f t="shared" si="35"/>
        <v>1.1591699999999999E-3</v>
      </c>
      <c r="E326" s="156">
        <f t="shared" si="35"/>
        <v>1.0309500000000001E-3</v>
      </c>
      <c r="F326" s="156">
        <f t="shared" si="35"/>
        <v>1.3325699999999999E-3</v>
      </c>
      <c r="G326" s="156">
        <f t="shared" si="35"/>
        <v>1.3451800000000001E-3</v>
      </c>
      <c r="H326" s="156">
        <f t="shared" si="35"/>
        <v>1.42085E-3</v>
      </c>
      <c r="I326" s="156">
        <f t="shared" si="35"/>
        <v>1.1570700000000001E-3</v>
      </c>
      <c r="J326" s="156">
        <f t="shared" si="35"/>
        <v>1.22222E-3</v>
      </c>
      <c r="K326" s="156">
        <f t="shared" si="35"/>
        <v>1.3641E-3</v>
      </c>
      <c r="L326" s="156">
        <f t="shared" si="35"/>
        <v>1.2999999999999999E-3</v>
      </c>
      <c r="M326" s="156">
        <f t="shared" si="35"/>
        <v>1.1942294831374797E-3</v>
      </c>
      <c r="N326" s="156">
        <f t="shared" si="35"/>
        <v>1.8629979936944682E-3</v>
      </c>
      <c r="O326" s="138"/>
      <c r="P326" s="138"/>
    </row>
    <row r="327" spans="1:16" x14ac:dyDescent="0.3">
      <c r="A327" s="154" t="s">
        <v>893</v>
      </c>
      <c r="B327" s="283" t="s">
        <v>203</v>
      </c>
      <c r="C327" s="207">
        <f>SUM(C323:C326)</f>
        <v>0.75157147419795545</v>
      </c>
      <c r="D327" s="207">
        <f t="shared" ref="D327:N327" si="36">SUM(D323:D326)</f>
        <v>0.74604140941912667</v>
      </c>
      <c r="E327" s="207">
        <f t="shared" si="36"/>
        <v>0.75373911136428762</v>
      </c>
      <c r="F327" s="207">
        <f t="shared" si="36"/>
        <v>0.73676237319098103</v>
      </c>
      <c r="G327" s="207">
        <f t="shared" si="36"/>
        <v>0.7393846976507118</v>
      </c>
      <c r="H327" s="207">
        <f t="shared" si="36"/>
        <v>0.75801001833858805</v>
      </c>
      <c r="I327" s="207">
        <f t="shared" si="36"/>
        <v>0.77511978940384052</v>
      </c>
      <c r="J327" s="207">
        <f t="shared" si="36"/>
        <v>0.8025345587790198</v>
      </c>
      <c r="K327" s="207">
        <f t="shared" si="36"/>
        <v>0.83061035699818464</v>
      </c>
      <c r="L327" s="207">
        <f t="shared" si="36"/>
        <v>0.83242305340594236</v>
      </c>
      <c r="M327" s="207">
        <f t="shared" si="36"/>
        <v>0.78914684245724642</v>
      </c>
      <c r="N327" s="207">
        <f t="shared" si="36"/>
        <v>0.8357934460685964</v>
      </c>
      <c r="O327" s="138"/>
      <c r="P327" s="138"/>
    </row>
    <row r="328" spans="1:16" x14ac:dyDescent="0.3">
      <c r="A328" s="24" t="s">
        <v>894</v>
      </c>
      <c r="B328" s="13"/>
      <c r="C328" s="157">
        <f>IFERROR(SUM(C323:C326)/C327,"")</f>
        <v>1</v>
      </c>
      <c r="D328" s="157">
        <f t="shared" ref="D328:N328" si="37">IFERROR(SUM(D323:D326)/D327,"")</f>
        <v>1</v>
      </c>
      <c r="E328" s="157">
        <f t="shared" si="37"/>
        <v>1</v>
      </c>
      <c r="F328" s="157">
        <f t="shared" si="37"/>
        <v>1</v>
      </c>
      <c r="G328" s="157">
        <f t="shared" si="37"/>
        <v>1</v>
      </c>
      <c r="H328" s="157">
        <f t="shared" si="37"/>
        <v>1</v>
      </c>
      <c r="I328" s="157">
        <f t="shared" si="37"/>
        <v>1</v>
      </c>
      <c r="J328" s="157">
        <f t="shared" si="37"/>
        <v>1</v>
      </c>
      <c r="K328" s="157">
        <f t="shared" si="37"/>
        <v>1</v>
      </c>
      <c r="L328" s="157">
        <f t="shared" si="37"/>
        <v>1</v>
      </c>
      <c r="M328" s="157">
        <f t="shared" si="37"/>
        <v>1</v>
      </c>
      <c r="N328" s="157">
        <f t="shared" si="37"/>
        <v>1</v>
      </c>
      <c r="O328" s="138"/>
      <c r="P328" s="138"/>
    </row>
    <row r="329" spans="1:16" x14ac:dyDescent="0.3">
      <c r="A329" s="143"/>
      <c r="B329" s="13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</row>
    <row r="330" spans="1:16" x14ac:dyDescent="0.3">
      <c r="A330" s="154" t="s">
        <v>895</v>
      </c>
      <c r="B330" s="29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</row>
    <row r="331" spans="1:16" x14ac:dyDescent="0.3">
      <c r="A331" s="58" t="s">
        <v>896</v>
      </c>
      <c r="B331" s="191" t="s">
        <v>103</v>
      </c>
      <c r="C331" s="158">
        <f>IFERROR((C174+C203)/' Macroeconomy (ktoe)'!C79,"")</f>
        <v>1.0013718347107439</v>
      </c>
      <c r="D331" s="158">
        <f>IFERROR((D174+D203)/' Macroeconomy (ktoe)'!D79,"")</f>
        <v>1</v>
      </c>
      <c r="E331" s="158">
        <f>IFERROR((E174+E203)/' Macroeconomy (ktoe)'!E79,"")</f>
        <v>1</v>
      </c>
      <c r="F331" s="158">
        <f>IFERROR((F174+F203)/' Macroeconomy (ktoe)'!F79,"")</f>
        <v>1</v>
      </c>
      <c r="G331" s="158">
        <f>IFERROR((G174+G203)/' Macroeconomy (ktoe)'!G79,"")</f>
        <v>1</v>
      </c>
      <c r="H331" s="158">
        <f>IFERROR((H174+H203)/' Macroeconomy (ktoe)'!H79,"")</f>
        <v>1</v>
      </c>
      <c r="I331" s="158">
        <f>IFERROR((I174+I203)/' Macroeconomy (ktoe)'!I79,"")</f>
        <v>1</v>
      </c>
      <c r="J331" s="158">
        <f>IFERROR((J174+J203)/' Macroeconomy (ktoe)'!J79,"")</f>
        <v>1</v>
      </c>
      <c r="K331" s="158">
        <f>IFERROR((K174+K203)/' Macroeconomy (ktoe)'!K79,"")</f>
        <v>1</v>
      </c>
      <c r="L331" s="158">
        <f>IFERROR((L174+L203)/' Macroeconomy (ktoe)'!L79,"")</f>
        <v>1</v>
      </c>
      <c r="M331" s="158">
        <f>IFERROR((M174+M203)/' Macroeconomy (ktoe)'!M79,"")</f>
        <v>1</v>
      </c>
      <c r="N331" s="158">
        <f>IFERROR((N174+N203)/' Macroeconomy (ktoe)'!N79,"")</f>
        <v>1</v>
      </c>
      <c r="O331" s="138"/>
      <c r="P331" s="138"/>
    </row>
    <row r="332" spans="1:16" x14ac:dyDescent="0.3">
      <c r="A332" s="58" t="s">
        <v>897</v>
      </c>
      <c r="B332" s="191" t="s">
        <v>103</v>
      </c>
      <c r="C332" s="158">
        <f>IFERROR((C175+C188+C204+C206)/' Macroeconomy (ktoe)'!C80,"")</f>
        <v>1.0022334597916109</v>
      </c>
      <c r="D332" s="158">
        <f>IFERROR((D175+D188+D204+D206)/' Macroeconomy (ktoe)'!D80,"")</f>
        <v>1.001568265682657</v>
      </c>
      <c r="E332" s="158">
        <f>IFERROR((E175+E188+E204+E206)/' Macroeconomy (ktoe)'!E80,"")</f>
        <v>0.99999999999999989</v>
      </c>
      <c r="F332" s="158">
        <f>IFERROR((F175+F188+F204+F206)/' Macroeconomy (ktoe)'!F80,"")</f>
        <v>0.99999999999999989</v>
      </c>
      <c r="G332" s="158">
        <f>IFERROR((G175+G188+G204+G206)/' Macroeconomy (ktoe)'!G80,"")</f>
        <v>1.0000197833720759</v>
      </c>
      <c r="H332" s="158">
        <f>IFERROR((H175+H188+H204+H206)/' Macroeconomy (ktoe)'!H80,"")</f>
        <v>1.0000189888440543</v>
      </c>
      <c r="I332" s="158">
        <f>IFERROR((I175+I188+I204+I206)/' Macroeconomy (ktoe)'!I80,"")</f>
        <v>1.0006842144680852</v>
      </c>
      <c r="J332" s="158">
        <f>IFERROR((J175+J188+J204+J206)/' Macroeconomy (ktoe)'!J80,"")</f>
        <v>0.99999746122599698</v>
      </c>
      <c r="K332" s="158">
        <f>IFERROR((K175+K188+K204+K206)/' Macroeconomy (ktoe)'!K80,"")</f>
        <v>0.99971064798021425</v>
      </c>
      <c r="L332" s="158">
        <f>IFERROR((L175+L188+L204+L206)/' Macroeconomy (ktoe)'!L80,"")</f>
        <v>0.9999174024494446</v>
      </c>
      <c r="M332" s="158">
        <f>IFERROR((M175+M188+M204+M206)/' Macroeconomy (ktoe)'!M80,"")</f>
        <v>0.99995207744285231</v>
      </c>
      <c r="N332" s="158">
        <f>IFERROR((N175+N188+N204+N206)/' Macroeconomy (ktoe)'!N80,"")</f>
        <v>1.0000433745391455</v>
      </c>
      <c r="O332" s="138"/>
      <c r="P332" s="138"/>
    </row>
    <row r="333" spans="1:16" x14ac:dyDescent="0.3">
      <c r="A333" s="58" t="s">
        <v>898</v>
      </c>
      <c r="B333" s="191" t="s">
        <v>103</v>
      </c>
      <c r="C333" s="158">
        <f>IFERROR(C176/' Macroeconomy (ktoe)'!C81,"")</f>
        <v>1</v>
      </c>
      <c r="D333" s="158">
        <f>IFERROR(D176/' Macroeconomy (ktoe)'!D81,"")</f>
        <v>1</v>
      </c>
      <c r="E333" s="158">
        <f>IFERROR(E176/' Macroeconomy (ktoe)'!E81,"")</f>
        <v>1</v>
      </c>
      <c r="F333" s="158">
        <f>IFERROR(F176/' Macroeconomy (ktoe)'!F81,"")</f>
        <v>1</v>
      </c>
      <c r="G333" s="158">
        <f>IFERROR(G176/' Macroeconomy (ktoe)'!G81,"")</f>
        <v>1</v>
      </c>
      <c r="H333" s="158">
        <f>IFERROR(H176/' Macroeconomy (ktoe)'!H81,"")</f>
        <v>1</v>
      </c>
      <c r="I333" s="158">
        <f>IFERROR(I176/' Macroeconomy (ktoe)'!I81,"")</f>
        <v>1</v>
      </c>
      <c r="J333" s="158">
        <f>IFERROR(J176/' Macroeconomy (ktoe)'!J81,"")</f>
        <v>1</v>
      </c>
      <c r="K333" s="158">
        <f>IFERROR(K176/' Macroeconomy (ktoe)'!K81,"")</f>
        <v>0.9988779541680145</v>
      </c>
      <c r="L333" s="158">
        <f>IFERROR(L176/' Macroeconomy (ktoe)'!L81,"")</f>
        <v>1</v>
      </c>
      <c r="M333" s="158">
        <f>IFERROR(M176/' Macroeconomy (ktoe)'!M81,"")</f>
        <v>1</v>
      </c>
      <c r="N333" s="158">
        <f>IFERROR(N176/' Macroeconomy (ktoe)'!N81,"")</f>
        <v>1</v>
      </c>
      <c r="O333" s="138"/>
      <c r="P333" s="138"/>
    </row>
    <row r="334" spans="1:16" x14ac:dyDescent="0.3">
      <c r="A334" s="58" t="s">
        <v>899</v>
      </c>
      <c r="B334" s="191" t="s">
        <v>103</v>
      </c>
      <c r="C334" s="158">
        <f>IFERROR(C177/' Macroeconomy (ktoe)'!C84/1000,"")</f>
        <v>1E-3</v>
      </c>
      <c r="D334" s="158">
        <f>IFERROR(D177/' Macroeconomy (ktoe)'!D84/1000,"")</f>
        <v>1E-3</v>
      </c>
      <c r="E334" s="158">
        <f>IFERROR(E177/' Macroeconomy (ktoe)'!E84/1000,"")</f>
        <v>1E-3</v>
      </c>
      <c r="F334" s="158">
        <f>IFERROR(F177/' Macroeconomy (ktoe)'!F84/1000,"")</f>
        <v>1E-3</v>
      </c>
      <c r="G334" s="158">
        <f>IFERROR(G177/' Macroeconomy (ktoe)'!G84/1000,"")</f>
        <v>1E-3</v>
      </c>
      <c r="H334" s="158">
        <f>IFERROR(H177/' Macroeconomy (ktoe)'!H84/1000,"")</f>
        <v>1E-3</v>
      </c>
      <c r="I334" s="158">
        <f>IFERROR(I177/' Macroeconomy (ktoe)'!I84/1000,"")</f>
        <v>1E-3</v>
      </c>
      <c r="J334" s="158">
        <f>IFERROR(J177/' Macroeconomy (ktoe)'!J84/1000,"")</f>
        <v>1E-3</v>
      </c>
      <c r="K334" s="158">
        <f>IFERROR(K177/' Macroeconomy (ktoe)'!K84/1000,"")</f>
        <v>1E-3</v>
      </c>
      <c r="L334" s="158">
        <f>IFERROR(L177/' Macroeconomy (ktoe)'!L84/1000,"")</f>
        <v>1E-3</v>
      </c>
      <c r="M334" s="158">
        <f>IFERROR(M177/' Macroeconomy (ktoe)'!M84/1000,"")</f>
        <v>1E-3</v>
      </c>
      <c r="N334" s="158">
        <f>IFERROR(N177/' Macroeconomy (ktoe)'!N84/1000,"")</f>
        <v>1E-3</v>
      </c>
      <c r="O334" s="138"/>
      <c r="P334" s="138"/>
    </row>
    <row r="335" spans="1:16" x14ac:dyDescent="0.3">
      <c r="A335" s="58" t="s">
        <v>900</v>
      </c>
      <c r="B335" s="191" t="s">
        <v>103</v>
      </c>
      <c r="C335" s="212">
        <f>IFERROR(C179/' Macroeconomy (ktoe)'!C87,"")</f>
        <v>1.0118674640290932</v>
      </c>
      <c r="D335" s="212">
        <f>IFERROR(D179/' Macroeconomy (ktoe)'!D87,"")</f>
        <v>1</v>
      </c>
      <c r="E335" s="212">
        <f>IFERROR(E179/' Macroeconomy (ktoe)'!E87,"")</f>
        <v>1</v>
      </c>
      <c r="F335" s="212">
        <f>IFERROR(F179/' Macroeconomy (ktoe)'!F87,"")</f>
        <v>1</v>
      </c>
      <c r="G335" s="212">
        <f>IFERROR(G179/' Macroeconomy (ktoe)'!G87,"")</f>
        <v>1</v>
      </c>
      <c r="H335" s="212">
        <f>IFERROR(H179/' Macroeconomy (ktoe)'!H87,"")</f>
        <v>1</v>
      </c>
      <c r="I335" s="212">
        <f>IFERROR(I179/' Macroeconomy (ktoe)'!I87,"")</f>
        <v>1.0000000000000013</v>
      </c>
      <c r="J335" s="212">
        <f>IFERROR(J179/' Macroeconomy (ktoe)'!J87,"")</f>
        <v>1</v>
      </c>
      <c r="K335" s="212">
        <f>IFERROR(K179/' Macroeconomy (ktoe)'!K87,"")</f>
        <v>1</v>
      </c>
      <c r="L335" s="212">
        <f>IFERROR(L179/' Macroeconomy (ktoe)'!L87,"")</f>
        <v>1</v>
      </c>
      <c r="M335" s="212">
        <f>IFERROR(M179/' Macroeconomy (ktoe)'!M87,"")</f>
        <v>1</v>
      </c>
      <c r="N335" s="212">
        <f>IFERROR(N179/' Macroeconomy (ktoe)'!N87,"")</f>
        <v>1</v>
      </c>
      <c r="O335" s="138"/>
      <c r="P335" s="159" t="s">
        <v>901</v>
      </c>
    </row>
    <row r="336" spans="1:16" x14ac:dyDescent="0.3">
      <c r="A336" s="143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x14ac:dyDescent="0.3">
      <c r="A337" s="80" t="s">
        <v>902</v>
      </c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x14ac:dyDescent="0.3">
      <c r="A338" s="80" t="s">
        <v>903</v>
      </c>
      <c r="B338" s="283" t="s">
        <v>203</v>
      </c>
      <c r="C338" s="155">
        <f t="shared" ref="C338:N338" si="38">C183/1000</f>
        <v>0.69081394860036294</v>
      </c>
      <c r="D338" s="155">
        <f t="shared" si="38"/>
        <v>0.70444801757905784</v>
      </c>
      <c r="E338" s="155">
        <f t="shared" si="38"/>
        <v>0.71732553023789036</v>
      </c>
      <c r="F338" s="155">
        <f t="shared" si="38"/>
        <v>0.70383049106716333</v>
      </c>
      <c r="G338" s="155">
        <f t="shared" si="38"/>
        <v>0.71116935428011852</v>
      </c>
      <c r="H338" s="155">
        <f t="shared" si="38"/>
        <v>0.73081530763351488</v>
      </c>
      <c r="I338" s="155">
        <f t="shared" si="38"/>
        <v>0.75289481226712518</v>
      </c>
      <c r="J338" s="155">
        <f t="shared" si="38"/>
        <v>0.77781599312123817</v>
      </c>
      <c r="K338" s="155">
        <f t="shared" si="38"/>
        <v>0.80725613833954324</v>
      </c>
      <c r="L338" s="155">
        <f t="shared" si="38"/>
        <v>0.81372408522021589</v>
      </c>
      <c r="M338" s="155">
        <f t="shared" si="38"/>
        <v>0.77034967039266256</v>
      </c>
      <c r="N338" s="155">
        <f t="shared" si="38"/>
        <v>0.8142973153721218</v>
      </c>
      <c r="O338" s="58"/>
      <c r="P338" s="58"/>
    </row>
    <row r="339" spans="1:16" x14ac:dyDescent="0.3">
      <c r="A339" s="58" t="s">
        <v>904</v>
      </c>
      <c r="B339" s="191" t="s">
        <v>203</v>
      </c>
      <c r="C339" s="155">
        <v>0</v>
      </c>
      <c r="D339" s="155">
        <v>0</v>
      </c>
      <c r="E339" s="155">
        <v>0</v>
      </c>
      <c r="F339" s="155">
        <v>0</v>
      </c>
      <c r="G339" s="155">
        <v>0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0</v>
      </c>
      <c r="O339" s="58"/>
      <c r="P339" s="58"/>
    </row>
    <row r="340" spans="1:16" x14ac:dyDescent="0.3">
      <c r="A340" s="58" t="s">
        <v>905</v>
      </c>
      <c r="B340" s="191" t="s">
        <v>203</v>
      </c>
      <c r="C340" s="206">
        <v>0</v>
      </c>
      <c r="D340" s="206">
        <v>0</v>
      </c>
      <c r="E340" s="206">
        <v>0</v>
      </c>
      <c r="F340" s="206">
        <v>0</v>
      </c>
      <c r="G340" s="206">
        <v>0</v>
      </c>
      <c r="H340" s="206">
        <v>0</v>
      </c>
      <c r="I340" s="206">
        <v>0</v>
      </c>
      <c r="J340" s="206">
        <v>0</v>
      </c>
      <c r="K340" s="206">
        <v>0</v>
      </c>
      <c r="L340" s="206">
        <v>0</v>
      </c>
      <c r="M340" s="206">
        <v>0</v>
      </c>
      <c r="N340" s="206">
        <v>0</v>
      </c>
      <c r="O340" s="58"/>
      <c r="P340" s="58"/>
    </row>
    <row r="341" spans="1:16" x14ac:dyDescent="0.3">
      <c r="A341" s="58"/>
      <c r="B341" s="191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58"/>
      <c r="P341" s="58"/>
    </row>
    <row r="342" spans="1:16" x14ac:dyDescent="0.3">
      <c r="A342" s="58" t="s">
        <v>906</v>
      </c>
      <c r="B342" s="191" t="s">
        <v>203</v>
      </c>
      <c r="C342" s="280">
        <f t="shared" ref="C342:N342" si="39">C222/1000</f>
        <v>0.35715923070171618</v>
      </c>
      <c r="D342" s="280">
        <f t="shared" si="39"/>
        <v>0.35758700060089327</v>
      </c>
      <c r="E342" s="280">
        <f t="shared" si="39"/>
        <v>0.36486354606990268</v>
      </c>
      <c r="F342" s="280">
        <f t="shared" si="39"/>
        <v>0.35971669073114082</v>
      </c>
      <c r="G342" s="280">
        <f t="shared" si="39"/>
        <v>0.3687983769905766</v>
      </c>
      <c r="H342" s="280">
        <f t="shared" si="39"/>
        <v>0.37715721913612038</v>
      </c>
      <c r="I342" s="280">
        <f t="shared" si="39"/>
        <v>0.39100797258052888</v>
      </c>
      <c r="J342" s="280">
        <f t="shared" si="39"/>
        <v>0.40485714985104393</v>
      </c>
      <c r="K342" s="280">
        <f t="shared" si="39"/>
        <v>0.41835776927751728</v>
      </c>
      <c r="L342" s="280">
        <f t="shared" si="39"/>
        <v>0.42005056980077971</v>
      </c>
      <c r="M342" s="280">
        <f t="shared" si="39"/>
        <v>0.37455027986284778</v>
      </c>
      <c r="N342" s="280">
        <f t="shared" si="39"/>
        <v>0</v>
      </c>
      <c r="O342" s="29"/>
      <c r="P342" s="29"/>
    </row>
    <row r="343" spans="1:16" x14ac:dyDescent="0.3">
      <c r="A343" s="58" t="s">
        <v>907</v>
      </c>
      <c r="B343" s="191" t="s">
        <v>203</v>
      </c>
      <c r="C343" s="280">
        <f t="shared" ref="C343:N343" si="40">C214/1000</f>
        <v>0.23719052008430433</v>
      </c>
      <c r="D343" s="280">
        <f t="shared" si="40"/>
        <v>0.22010305014243842</v>
      </c>
      <c r="E343" s="280">
        <f t="shared" si="40"/>
        <v>0.21094139537266549</v>
      </c>
      <c r="F343" s="280">
        <f t="shared" si="40"/>
        <v>0.19777576056648957</v>
      </c>
      <c r="G343" s="280">
        <f t="shared" si="40"/>
        <v>0.20051693577656721</v>
      </c>
      <c r="H343" s="280">
        <f t="shared" si="40"/>
        <v>0.19797081291332555</v>
      </c>
      <c r="I343" s="280">
        <f t="shared" si="40"/>
        <v>0.20825242828973928</v>
      </c>
      <c r="J343" s="280">
        <f t="shared" si="40"/>
        <v>0.21776925176151937</v>
      </c>
      <c r="K343" s="280">
        <f t="shared" si="40"/>
        <v>0.22477867018062531</v>
      </c>
      <c r="L343" s="280">
        <f t="shared" si="40"/>
        <v>0.22839340160376559</v>
      </c>
      <c r="M343" s="280">
        <f t="shared" si="40"/>
        <v>0.1791335091838262</v>
      </c>
      <c r="N343" s="280">
        <f t="shared" si="40"/>
        <v>0</v>
      </c>
      <c r="O343" s="29"/>
      <c r="P343" s="29"/>
    </row>
    <row r="344" spans="1:16" x14ac:dyDescent="0.3">
      <c r="A344" s="58" t="s">
        <v>125</v>
      </c>
      <c r="B344" s="191" t="s">
        <v>203</v>
      </c>
      <c r="C344" s="280">
        <f t="shared" ref="C344:N344" si="41">C215/1000</f>
        <v>0.11996871061741184</v>
      </c>
      <c r="D344" s="280">
        <f t="shared" si="41"/>
        <v>0.13748395045845488</v>
      </c>
      <c r="E344" s="280">
        <f t="shared" si="41"/>
        <v>0.15392215069723716</v>
      </c>
      <c r="F344" s="280">
        <f t="shared" si="41"/>
        <v>0.16194093016465128</v>
      </c>
      <c r="G344" s="280">
        <f t="shared" si="41"/>
        <v>0.16828144121400943</v>
      </c>
      <c r="H344" s="280">
        <f t="shared" si="41"/>
        <v>0.17918640622279483</v>
      </c>
      <c r="I344" s="280">
        <f t="shared" si="41"/>
        <v>0.18275554429078961</v>
      </c>
      <c r="J344" s="280">
        <f t="shared" si="41"/>
        <v>0.18708789808952456</v>
      </c>
      <c r="K344" s="280">
        <f t="shared" si="41"/>
        <v>0.19357909909689194</v>
      </c>
      <c r="L344" s="280">
        <f t="shared" si="41"/>
        <v>0.19165716819701412</v>
      </c>
      <c r="M344" s="280">
        <f t="shared" si="41"/>
        <v>0.19541677067902158</v>
      </c>
      <c r="N344" s="280">
        <f t="shared" si="41"/>
        <v>0</v>
      </c>
      <c r="O344" s="29"/>
      <c r="P344" s="29"/>
    </row>
    <row r="345" spans="1:16" x14ac:dyDescent="0.3">
      <c r="A345" s="58" t="s">
        <v>126</v>
      </c>
      <c r="B345" s="191" t="s">
        <v>203</v>
      </c>
      <c r="C345" s="280">
        <f t="shared" ref="C345:N345" si="42">C216/1000</f>
        <v>0</v>
      </c>
      <c r="D345" s="280">
        <f t="shared" si="42"/>
        <v>0</v>
      </c>
      <c r="E345" s="280">
        <f t="shared" si="42"/>
        <v>0</v>
      </c>
      <c r="F345" s="280">
        <f t="shared" si="42"/>
        <v>0</v>
      </c>
      <c r="G345" s="280">
        <f t="shared" si="42"/>
        <v>0</v>
      </c>
      <c r="H345" s="280">
        <f t="shared" si="42"/>
        <v>0</v>
      </c>
      <c r="I345" s="280">
        <f t="shared" si="42"/>
        <v>0</v>
      </c>
      <c r="J345" s="280">
        <f t="shared" si="42"/>
        <v>0</v>
      </c>
      <c r="K345" s="280">
        <f t="shared" si="42"/>
        <v>0</v>
      </c>
      <c r="L345" s="280">
        <f t="shared" si="42"/>
        <v>0</v>
      </c>
      <c r="M345" s="280">
        <f t="shared" si="42"/>
        <v>0</v>
      </c>
      <c r="N345" s="280">
        <f t="shared" si="42"/>
        <v>0</v>
      </c>
      <c r="O345" s="29"/>
      <c r="P345" s="29"/>
    </row>
    <row r="346" spans="1:16" x14ac:dyDescent="0.3">
      <c r="A346" s="58" t="s">
        <v>908</v>
      </c>
      <c r="B346" s="191" t="s">
        <v>203</v>
      </c>
      <c r="C346" s="280">
        <f t="shared" ref="C346:N346" si="43">C217/1000</f>
        <v>0</v>
      </c>
      <c r="D346" s="280">
        <f t="shared" si="43"/>
        <v>0</v>
      </c>
      <c r="E346" s="280">
        <f t="shared" si="43"/>
        <v>0</v>
      </c>
      <c r="F346" s="280">
        <f t="shared" si="43"/>
        <v>0</v>
      </c>
      <c r="G346" s="280">
        <f t="shared" si="43"/>
        <v>0</v>
      </c>
      <c r="H346" s="280">
        <f t="shared" si="43"/>
        <v>0</v>
      </c>
      <c r="I346" s="280">
        <f t="shared" si="43"/>
        <v>0</v>
      </c>
      <c r="J346" s="280">
        <f t="shared" si="43"/>
        <v>0</v>
      </c>
      <c r="K346" s="280">
        <f t="shared" si="43"/>
        <v>0</v>
      </c>
      <c r="L346" s="280">
        <f t="shared" si="43"/>
        <v>0</v>
      </c>
      <c r="M346" s="280">
        <f t="shared" si="43"/>
        <v>0</v>
      </c>
      <c r="N346" s="280">
        <f t="shared" si="43"/>
        <v>0</v>
      </c>
      <c r="O346" s="29"/>
      <c r="P346" s="29"/>
    </row>
    <row r="347" spans="1:16" x14ac:dyDescent="0.3">
      <c r="A347" s="58" t="s">
        <v>909</v>
      </c>
      <c r="B347" s="191" t="s">
        <v>203</v>
      </c>
      <c r="C347" s="280">
        <f t="shared" ref="C347:N347" si="44">C218/1000</f>
        <v>0</v>
      </c>
      <c r="D347" s="280">
        <f t="shared" si="44"/>
        <v>0</v>
      </c>
      <c r="E347" s="280">
        <f t="shared" si="44"/>
        <v>0</v>
      </c>
      <c r="F347" s="280">
        <f t="shared" si="44"/>
        <v>0</v>
      </c>
      <c r="G347" s="280">
        <f t="shared" si="44"/>
        <v>0</v>
      </c>
      <c r="H347" s="280">
        <f t="shared" si="44"/>
        <v>0</v>
      </c>
      <c r="I347" s="280">
        <f t="shared" si="44"/>
        <v>0</v>
      </c>
      <c r="J347" s="280">
        <f t="shared" si="44"/>
        <v>0</v>
      </c>
      <c r="K347" s="280">
        <f t="shared" si="44"/>
        <v>0</v>
      </c>
      <c r="L347" s="280">
        <f t="shared" si="44"/>
        <v>0</v>
      </c>
      <c r="M347" s="280">
        <f t="shared" si="44"/>
        <v>0</v>
      </c>
      <c r="N347" s="280">
        <f t="shared" si="44"/>
        <v>0</v>
      </c>
      <c r="O347" s="29"/>
      <c r="P347" s="29"/>
    </row>
    <row r="348" spans="1:16" x14ac:dyDescent="0.3">
      <c r="A348" s="58" t="s">
        <v>205</v>
      </c>
      <c r="B348" s="191" t="s">
        <v>203</v>
      </c>
      <c r="C348" s="280">
        <f t="shared" ref="C348:N348" si="45">C221/1000</f>
        <v>0</v>
      </c>
      <c r="D348" s="280">
        <f t="shared" si="45"/>
        <v>0</v>
      </c>
      <c r="E348" s="280">
        <f t="shared" si="45"/>
        <v>0</v>
      </c>
      <c r="F348" s="280">
        <f t="shared" si="45"/>
        <v>0</v>
      </c>
      <c r="G348" s="280">
        <f t="shared" si="45"/>
        <v>0</v>
      </c>
      <c r="H348" s="280">
        <f t="shared" si="45"/>
        <v>0</v>
      </c>
      <c r="I348" s="280">
        <f t="shared" si="45"/>
        <v>0</v>
      </c>
      <c r="J348" s="280">
        <f t="shared" si="45"/>
        <v>0</v>
      </c>
      <c r="K348" s="280">
        <f t="shared" si="45"/>
        <v>0</v>
      </c>
      <c r="L348" s="280">
        <f t="shared" si="45"/>
        <v>0</v>
      </c>
      <c r="M348" s="280">
        <f t="shared" si="45"/>
        <v>0</v>
      </c>
      <c r="N348" s="280">
        <f t="shared" si="45"/>
        <v>0</v>
      </c>
      <c r="O348" s="29"/>
      <c r="P348" s="29"/>
    </row>
    <row r="349" spans="1:16" x14ac:dyDescent="0.3">
      <c r="A349" s="58"/>
      <c r="B349" s="191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9"/>
      <c r="P349" s="29"/>
    </row>
    <row r="350" spans="1:16" x14ac:dyDescent="0.3">
      <c r="A350" s="58" t="s">
        <v>910</v>
      </c>
      <c r="B350" s="191" t="s">
        <v>203</v>
      </c>
      <c r="C350" s="279">
        <f t="shared" ref="C350:N350" si="46">C230/1000</f>
        <v>1.3800297370150723E-3</v>
      </c>
      <c r="D350" s="279">
        <f t="shared" si="46"/>
        <v>1.4922520882648875E-3</v>
      </c>
      <c r="E350" s="279">
        <f t="shared" si="46"/>
        <v>2.1478744213964118E-3</v>
      </c>
      <c r="F350" s="279">
        <f t="shared" si="46"/>
        <v>2.2031510418341195E-3</v>
      </c>
      <c r="G350" s="279">
        <f t="shared" si="46"/>
        <v>2.4266747672168519E-3</v>
      </c>
      <c r="H350" s="279">
        <f t="shared" si="46"/>
        <v>2.5468315256243941E-3</v>
      </c>
      <c r="I350" s="279">
        <f t="shared" si="46"/>
        <v>2.8150465834345388E-3</v>
      </c>
      <c r="J350" s="279">
        <f t="shared" si="46"/>
        <v>3.0755877559568634E-3</v>
      </c>
      <c r="K350" s="279">
        <f t="shared" si="46"/>
        <v>3.3191802501079154E-3</v>
      </c>
      <c r="L350" s="279">
        <f t="shared" si="46"/>
        <v>3.3993158985097978E-3</v>
      </c>
      <c r="M350" s="279">
        <f t="shared" si="46"/>
        <v>3.3999999999999998E-3</v>
      </c>
      <c r="N350" s="279">
        <f t="shared" si="46"/>
        <v>0</v>
      </c>
      <c r="O350" s="29"/>
      <c r="P350" s="29"/>
    </row>
    <row r="351" spans="1:16" x14ac:dyDescent="0.3">
      <c r="A351" s="58" t="s">
        <v>911</v>
      </c>
      <c r="B351" s="191" t="s">
        <v>203</v>
      </c>
      <c r="C351" s="279">
        <f t="shared" ref="C351:N351" si="47">C239/1000</f>
        <v>2.2497163907973863E-2</v>
      </c>
      <c r="D351" s="279">
        <f t="shared" si="47"/>
        <v>2.2974736747984996E-2</v>
      </c>
      <c r="E351" s="279">
        <f t="shared" si="47"/>
        <v>2.3252891072881858E-2</v>
      </c>
      <c r="F351" s="279">
        <f t="shared" si="47"/>
        <v>2.2570503440923258E-2</v>
      </c>
      <c r="G351" s="279">
        <f t="shared" si="47"/>
        <v>2.1710872926679597E-2</v>
      </c>
      <c r="H351" s="279">
        <f t="shared" si="47"/>
        <v>2.1836333046455155E-2</v>
      </c>
      <c r="I351" s="279">
        <f t="shared" si="47"/>
        <v>2.0800769409113035E-2</v>
      </c>
      <c r="J351" s="279">
        <f t="shared" si="47"/>
        <v>2.092277569511327E-2</v>
      </c>
      <c r="K351" s="279">
        <f t="shared" si="47"/>
        <v>2.0563137737858242E-2</v>
      </c>
      <c r="L351" s="279">
        <f t="shared" si="47"/>
        <v>1.9125483663484502E-2</v>
      </c>
      <c r="M351" s="279">
        <f t="shared" si="47"/>
        <v>1.8394056256699834E-2</v>
      </c>
      <c r="N351" s="279">
        <f t="shared" si="47"/>
        <v>0</v>
      </c>
      <c r="O351" s="29"/>
      <c r="P351" s="29"/>
    </row>
    <row r="352" spans="1:16" x14ac:dyDescent="0.3">
      <c r="A352" s="58" t="s">
        <v>912</v>
      </c>
      <c r="B352" s="191" t="s">
        <v>203</v>
      </c>
      <c r="C352" s="279">
        <f t="shared" ref="C352:N352" si="48">(C249+C259)/1000</f>
        <v>0.30501187984742884</v>
      </c>
      <c r="D352" s="279">
        <f t="shared" si="48"/>
        <v>0.31794056487641364</v>
      </c>
      <c r="E352" s="279">
        <f t="shared" si="48"/>
        <v>0.3217728528573342</v>
      </c>
      <c r="F352" s="279">
        <f t="shared" si="48"/>
        <v>0.31280362631567099</v>
      </c>
      <c r="G352" s="279">
        <f t="shared" si="48"/>
        <v>0.31043992321846003</v>
      </c>
      <c r="H352" s="279">
        <f t="shared" si="48"/>
        <v>0.32000122324699254</v>
      </c>
      <c r="I352" s="279">
        <f t="shared" si="48"/>
        <v>0.32656279784136882</v>
      </c>
      <c r="J352" s="279">
        <f t="shared" si="48"/>
        <v>0.33559466344384936</v>
      </c>
      <c r="K352" s="279">
        <f t="shared" si="48"/>
        <v>0.34762329288164562</v>
      </c>
      <c r="L352" s="279">
        <f t="shared" si="48"/>
        <v>0.34480401345942902</v>
      </c>
      <c r="M352" s="279">
        <f t="shared" si="48"/>
        <v>0.33933835898584902</v>
      </c>
      <c r="N352" s="279">
        <f t="shared" si="48"/>
        <v>0</v>
      </c>
      <c r="O352" s="29"/>
      <c r="P352" s="29"/>
    </row>
    <row r="353" spans="1:16" x14ac:dyDescent="0.3">
      <c r="A353" s="24" t="s">
        <v>913</v>
      </c>
      <c r="B353" s="25" t="s">
        <v>103</v>
      </c>
      <c r="C353" s="208">
        <f>IFERROR((C340+C342+C350+C351+C352)/C338,"")</f>
        <v>0.99310140680296832</v>
      </c>
      <c r="D353" s="208">
        <f t="shared" ref="D353:N353" si="49">IFERROR((D340+D342+D350+D351+D352)/D338,"")</f>
        <v>0.99367808105869049</v>
      </c>
      <c r="E353" s="208">
        <f t="shared" si="49"/>
        <v>0.99262766262533353</v>
      </c>
      <c r="F353" s="208">
        <f t="shared" si="49"/>
        <v>0.99071293497432411</v>
      </c>
      <c r="G353" s="208">
        <f t="shared" si="49"/>
        <v>0.98904127922515106</v>
      </c>
      <c r="H353" s="208">
        <f t="shared" si="49"/>
        <v>0.98731047286303852</v>
      </c>
      <c r="I353" s="208">
        <f t="shared" si="49"/>
        <v>0.98444905495174828</v>
      </c>
      <c r="J353" s="208">
        <f t="shared" si="49"/>
        <v>0.98281622325398565</v>
      </c>
      <c r="K353" s="208">
        <f t="shared" si="49"/>
        <v>0.97845447390689455</v>
      </c>
      <c r="L353" s="208">
        <f t="shared" si="49"/>
        <v>0.96762452669582311</v>
      </c>
      <c r="M353" s="208">
        <f t="shared" si="49"/>
        <v>0.95499839018611443</v>
      </c>
      <c r="N353" s="208">
        <f t="shared" si="49"/>
        <v>0</v>
      </c>
      <c r="O353" s="29"/>
      <c r="P353" s="29"/>
    </row>
    <row r="354" spans="1:16" x14ac:dyDescent="0.3">
      <c r="A354" s="58"/>
      <c r="B354" s="5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x14ac:dyDescent="0.3">
      <c r="A355" s="154" t="s">
        <v>914</v>
      </c>
      <c r="B355" s="13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x14ac:dyDescent="0.3">
      <c r="A356" s="58" t="s">
        <v>915</v>
      </c>
      <c r="B356" s="191" t="s">
        <v>916</v>
      </c>
      <c r="C356" s="280">
        <v>0.83976927088135533</v>
      </c>
      <c r="D356" s="280">
        <v>0.83539707673805741</v>
      </c>
      <c r="E356" s="280">
        <v>0.8320323989284002</v>
      </c>
      <c r="F356" s="280">
        <v>0.82948288169449436</v>
      </c>
      <c r="G356" s="280">
        <v>0.82893330704747714</v>
      </c>
      <c r="H356" s="280">
        <v>0.82724123590424714</v>
      </c>
      <c r="I356" s="280">
        <v>0.82793436415728439</v>
      </c>
      <c r="J356" s="280">
        <v>0.82841024214527947</v>
      </c>
      <c r="K356" s="280">
        <v>0.82835593313156963</v>
      </c>
      <c r="L356" s="280">
        <v>0.82893555115063366</v>
      </c>
      <c r="M356" s="280">
        <v>0.82304366247556371</v>
      </c>
      <c r="N356" s="275"/>
      <c r="O356" s="18" t="s">
        <v>813</v>
      </c>
      <c r="P356" s="29"/>
    </row>
    <row r="357" spans="1:16" x14ac:dyDescent="0.3">
      <c r="A357" s="58" t="s">
        <v>917</v>
      </c>
      <c r="B357" s="191" t="s">
        <v>853</v>
      </c>
      <c r="C357" s="280">
        <f t="shared" ref="C357:N357" si="50">IF(C267="","",C267)</f>
        <v>8.0692292640657115</v>
      </c>
      <c r="D357" s="280">
        <f t="shared" si="50"/>
        <v>7.9681318282113223</v>
      </c>
      <c r="E357" s="280">
        <f t="shared" si="50"/>
        <v>7.9690511915958666</v>
      </c>
      <c r="F357" s="280">
        <f t="shared" si="50"/>
        <v>7.9305784115142401</v>
      </c>
      <c r="G357" s="280">
        <f t="shared" si="50"/>
        <v>7.8494549614584557</v>
      </c>
      <c r="H357" s="280">
        <f t="shared" si="50"/>
        <v>7.7441303439169591</v>
      </c>
      <c r="I357" s="280">
        <f t="shared" si="50"/>
        <v>7.7582619729558973</v>
      </c>
      <c r="J357" s="280">
        <f t="shared" si="50"/>
        <v>7.7412961274610543</v>
      </c>
      <c r="K357" s="280">
        <f t="shared" si="50"/>
        <v>7.7242904065337052</v>
      </c>
      <c r="L357" s="280">
        <f t="shared" si="50"/>
        <v>7.7378371586419021</v>
      </c>
      <c r="M357" s="280">
        <f t="shared" si="50"/>
        <v>7.5809732310872304</v>
      </c>
      <c r="N357" s="280">
        <f t="shared" si="50"/>
        <v>7.48</v>
      </c>
      <c r="O357" s="29"/>
      <c r="P357" s="29"/>
    </row>
    <row r="358" spans="1:16" x14ac:dyDescent="0.3">
      <c r="A358" s="24"/>
      <c r="B358" s="25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8" x14ac:dyDescent="0.3">
      <c r="A359" s="153" t="s">
        <v>216</v>
      </c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</row>
    <row r="360" spans="1:16" x14ac:dyDescent="0.3">
      <c r="A360" s="58" t="s">
        <v>918</v>
      </c>
      <c r="B360" s="191" t="s">
        <v>919</v>
      </c>
      <c r="C360" s="280">
        <f t="shared" ref="C360:N360" si="51">IFERROR(C342/C8*1000,"")</f>
        <v>0.64620812502572123</v>
      </c>
      <c r="D360" s="280">
        <f t="shared" si="51"/>
        <v>0.62297386864267124</v>
      </c>
      <c r="E360" s="280">
        <f t="shared" si="51"/>
        <v>0.60598496274689029</v>
      </c>
      <c r="F360" s="280">
        <f t="shared" si="51"/>
        <v>0.57234159225320735</v>
      </c>
      <c r="G360" s="280">
        <f t="shared" si="51"/>
        <v>0.56477546246642674</v>
      </c>
      <c r="H360" s="280">
        <f t="shared" si="51"/>
        <v>0.55743011991741109</v>
      </c>
      <c r="I360" s="280">
        <f t="shared" si="51"/>
        <v>0.55612000082567037</v>
      </c>
      <c r="J360" s="280">
        <f t="shared" si="51"/>
        <v>0.55773129887180595</v>
      </c>
      <c r="K360" s="280">
        <f t="shared" si="51"/>
        <v>0.56042567887142303</v>
      </c>
      <c r="L360" s="280">
        <f t="shared" si="51"/>
        <v>0.52843196603444431</v>
      </c>
      <c r="M360" s="280">
        <f t="shared" si="51"/>
        <v>0.46315108181383424</v>
      </c>
      <c r="N360" s="280">
        <f t="shared" si="51"/>
        <v>0</v>
      </c>
      <c r="O360" s="29"/>
      <c r="P360" s="29"/>
    </row>
    <row r="361" spans="1:16" x14ac:dyDescent="0.3">
      <c r="A361" s="58" t="s">
        <v>920</v>
      </c>
      <c r="B361" s="191" t="s">
        <v>919</v>
      </c>
      <c r="C361" s="280">
        <f>IFERROR(C343/C14*1000,"")</f>
        <v>0.57074849988282428</v>
      </c>
      <c r="D361" s="280">
        <f t="shared" ref="D361:N361" si="52">IFERROR(D343/D14*1000,"")</f>
        <v>0.52405488129152</v>
      </c>
      <c r="E361" s="280">
        <f t="shared" si="52"/>
        <v>0.4971515328132583</v>
      </c>
      <c r="F361" s="280">
        <f t="shared" si="52"/>
        <v>0.463826830596833</v>
      </c>
      <c r="G361" s="280">
        <f t="shared" si="52"/>
        <v>0.46740544470062284</v>
      </c>
      <c r="H361" s="280">
        <f t="shared" si="52"/>
        <v>0.45604886642092962</v>
      </c>
      <c r="I361" s="280">
        <f t="shared" si="52"/>
        <v>0.4699896824412983</v>
      </c>
      <c r="J361" s="280">
        <f t="shared" si="52"/>
        <v>0.48468562599937537</v>
      </c>
      <c r="K361" s="280">
        <f t="shared" si="52"/>
        <v>0.49620015492411773</v>
      </c>
      <c r="L361" s="280">
        <f t="shared" si="52"/>
        <v>0.47861148701543504</v>
      </c>
      <c r="M361" s="280">
        <f t="shared" si="52"/>
        <v>0.37467791086347252</v>
      </c>
      <c r="N361" s="280">
        <f t="shared" si="52"/>
        <v>0</v>
      </c>
      <c r="O361" s="29"/>
      <c r="P361" s="29"/>
    </row>
    <row r="362" spans="1:16" x14ac:dyDescent="0.3">
      <c r="A362" s="58" t="s">
        <v>921</v>
      </c>
      <c r="B362" s="191" t="s">
        <v>919</v>
      </c>
      <c r="C362" s="280">
        <f>IFERROR(C344/C15*1000,"")</f>
        <v>0.87516020059097355</v>
      </c>
      <c r="D362" s="280">
        <f t="shared" ref="D362:N362" si="53">IFERROR(D344/D15*1000,"")</f>
        <v>0.89275292505490189</v>
      </c>
      <c r="E362" s="280">
        <f t="shared" si="53"/>
        <v>0.86863516194829105</v>
      </c>
      <c r="F362" s="280">
        <f t="shared" si="53"/>
        <v>0.80447555968530182</v>
      </c>
      <c r="G362" s="280">
        <f t="shared" si="53"/>
        <v>0.75564185547377394</v>
      </c>
      <c r="H362" s="280">
        <f t="shared" si="53"/>
        <v>0.74351205901574613</v>
      </c>
      <c r="I362" s="280">
        <f t="shared" si="53"/>
        <v>0.70725829833896914</v>
      </c>
      <c r="J362" s="280">
        <f t="shared" si="53"/>
        <v>0.68081476742912872</v>
      </c>
      <c r="K362" s="280">
        <f t="shared" si="53"/>
        <v>0.66385150581924535</v>
      </c>
      <c r="L362" s="280">
        <f t="shared" si="53"/>
        <v>0.60843545459369563</v>
      </c>
      <c r="M362" s="280">
        <f t="shared" si="53"/>
        <v>0.59815356804108233</v>
      </c>
      <c r="N362" s="280">
        <f t="shared" si="53"/>
        <v>0</v>
      </c>
      <c r="O362" s="29"/>
      <c r="P362" s="29"/>
    </row>
    <row r="363" spans="1:16" x14ac:dyDescent="0.3">
      <c r="A363" s="58" t="s">
        <v>922</v>
      </c>
      <c r="B363" s="191" t="s">
        <v>853</v>
      </c>
      <c r="C363" s="280">
        <f>IFERROR((C268*C14+C269*C15)/(C14+C15),"")</f>
        <v>8.3038770286971726</v>
      </c>
      <c r="D363" s="280">
        <f t="shared" ref="D363:N363" si="54">IFERROR((D268*D14+D269*D15)/(D14+D15),"")</f>
        <v>8.2022145092255023</v>
      </c>
      <c r="E363" s="280">
        <f t="shared" si="54"/>
        <v>8.2649739500606767</v>
      </c>
      <c r="F363" s="280">
        <f t="shared" si="54"/>
        <v>8.2104614112406953</v>
      </c>
      <c r="G363" s="280">
        <f t="shared" si="54"/>
        <v>8.1368106335227122</v>
      </c>
      <c r="H363" s="280">
        <f t="shared" si="54"/>
        <v>8.0172131366049086</v>
      </c>
      <c r="I363" s="280">
        <f t="shared" si="54"/>
        <v>8.0095396799156404</v>
      </c>
      <c r="J363" s="280">
        <f t="shared" si="54"/>
        <v>7.9384134893923335</v>
      </c>
      <c r="K363" s="280">
        <f t="shared" si="54"/>
        <v>7.9698859623424951</v>
      </c>
      <c r="L363" s="280">
        <f t="shared" si="54"/>
        <v>7.9006760660532871</v>
      </c>
      <c r="M363" s="280">
        <f t="shared" si="54"/>
        <v>7.8456478770941462</v>
      </c>
      <c r="N363" s="280">
        <f t="shared" si="54"/>
        <v>7.7396601291265679</v>
      </c>
      <c r="O363" s="29"/>
      <c r="P363" s="29"/>
    </row>
    <row r="364" spans="1:16" x14ac:dyDescent="0.3">
      <c r="A364" s="58" t="s">
        <v>923</v>
      </c>
      <c r="B364" s="191" t="s">
        <v>924</v>
      </c>
      <c r="C364" s="280">
        <f>IFERROR(C352/C164*1000,"")</f>
        <v>0.21995520288990328</v>
      </c>
      <c r="D364" s="280">
        <f t="shared" ref="D364:N364" si="55">IFERROR(D352/D164*1000,"")</f>
        <v>0.20380805440795746</v>
      </c>
      <c r="E364" s="280">
        <f t="shared" si="55"/>
        <v>0.20123380416343603</v>
      </c>
      <c r="F364" s="280">
        <f t="shared" si="55"/>
        <v>0.19648468989677825</v>
      </c>
      <c r="G364" s="280">
        <f t="shared" si="55"/>
        <v>0.20354046893421196</v>
      </c>
      <c r="H364" s="280">
        <f t="shared" si="55"/>
        <v>0.21008483669051498</v>
      </c>
      <c r="I364" s="280">
        <f t="shared" si="55"/>
        <v>0.18223370415254958</v>
      </c>
      <c r="J364" s="280">
        <f t="shared" si="55"/>
        <v>0.20567179226809423</v>
      </c>
      <c r="K364" s="280">
        <f t="shared" si="55"/>
        <v>0.20618226149563798</v>
      </c>
      <c r="L364" s="280">
        <f t="shared" si="55"/>
        <v>0.20161619311158288</v>
      </c>
      <c r="M364" s="280">
        <f t="shared" si="55"/>
        <v>0.26660776161678895</v>
      </c>
      <c r="N364" s="280">
        <f t="shared" si="55"/>
        <v>0</v>
      </c>
      <c r="O364" s="29"/>
      <c r="P364" s="29"/>
    </row>
    <row r="365" spans="1:16" x14ac:dyDescent="0.3">
      <c r="A365" s="58" t="s">
        <v>925</v>
      </c>
      <c r="B365" s="191" t="s">
        <v>926</v>
      </c>
      <c r="C365" s="279">
        <f>IFERROR(C324/((C148+C149)*1.7+C165*2.5)*1000,"")</f>
        <v>3.0158389078838587E-3</v>
      </c>
      <c r="D365" s="279">
        <f t="shared" ref="D365:N365" si="56">IFERROR(D324/((D148+D149)*1.7+D165*2.5)*1000,"")</f>
        <v>2.1875146718210469E-3</v>
      </c>
      <c r="E365" s="279">
        <f t="shared" si="56"/>
        <v>2.3434584316063358E-3</v>
      </c>
      <c r="F365" s="279">
        <f t="shared" si="56"/>
        <v>2.2383447336672192E-3</v>
      </c>
      <c r="G365" s="279">
        <f t="shared" si="56"/>
        <v>2.387612684742163E-3</v>
      </c>
      <c r="H365" s="279">
        <f t="shared" si="56"/>
        <v>2.3551623329971555E-3</v>
      </c>
      <c r="I365" s="279">
        <f t="shared" si="56"/>
        <v>2.4710271370642872E-3</v>
      </c>
      <c r="J365" s="279">
        <f t="shared" si="56"/>
        <v>2.624024397696973E-3</v>
      </c>
      <c r="K365" s="279">
        <f t="shared" si="56"/>
        <v>2.1126353534744349E-3</v>
      </c>
      <c r="L365" s="279">
        <f t="shared" si="56"/>
        <v>1.9379080434374807E-3</v>
      </c>
      <c r="M365" s="279">
        <f t="shared" si="56"/>
        <v>2.2930149971752095E-3</v>
      </c>
      <c r="N365" s="279">
        <f t="shared" si="56"/>
        <v>2.3107708698303108E-3</v>
      </c>
      <c r="O365" s="29"/>
      <c r="P365" s="29"/>
    </row>
    <row r="366" spans="1:16" x14ac:dyDescent="0.3">
      <c r="A366" s="58" t="s">
        <v>927</v>
      </c>
      <c r="B366" s="191" t="s">
        <v>928</v>
      </c>
      <c r="C366" s="279">
        <f>IFERROR((C324/((C148+C149)*1.7))/((C148+C149)*1.7+C147*2.5)/(C148+C149)*1000,"")</f>
        <v>2.2158476625946555E-7</v>
      </c>
      <c r="D366" s="278">
        <f t="shared" ref="D366:N366" si="57">IFERROR(D324/((D148+D149)*1.7+D156*2.5)/(D148+D149)*1000,"")</f>
        <v>2.1475961402914859E-4</v>
      </c>
      <c r="E366" s="278">
        <f t="shared" si="57"/>
        <v>1.6781240417644138E-4</v>
      </c>
      <c r="F366" s="278">
        <f t="shared" si="57"/>
        <v>1.7793293971755532E-4</v>
      </c>
      <c r="G366" s="278">
        <f t="shared" si="57"/>
        <v>1.0414337713676861E-4</v>
      </c>
      <c r="H366" s="278">
        <f t="shared" si="57"/>
        <v>9.5394919384816882E-5</v>
      </c>
      <c r="I366" s="278">
        <f t="shared" si="57"/>
        <v>6.6026022365948823E-5</v>
      </c>
      <c r="J366" s="278">
        <f t="shared" si="57"/>
        <v>7.2140049508435177E-5</v>
      </c>
      <c r="K366" s="278">
        <f t="shared" si="57"/>
        <v>3.5554958634571354E-5</v>
      </c>
      <c r="L366" s="278">
        <f t="shared" si="57"/>
        <v>3.0100447769886317E-5</v>
      </c>
      <c r="M366" s="278">
        <f t="shared" si="57"/>
        <v>6.4897923876149112E-5</v>
      </c>
      <c r="N366" s="278">
        <f t="shared" si="57"/>
        <v>6.4563613509359213E-5</v>
      </c>
      <c r="O366" s="29"/>
      <c r="P366" s="29"/>
    </row>
    <row r="367" spans="1:16" x14ac:dyDescent="0.3">
      <c r="A367" s="58" t="s">
        <v>929</v>
      </c>
      <c r="B367" s="191" t="s">
        <v>924</v>
      </c>
      <c r="C367" s="279">
        <f>IFERROR((C324*(C165*2.5))/((C148+C149)*1.7+C165*2.5)/C165*1000,"")</f>
        <v>7.5395972697096464E-3</v>
      </c>
      <c r="D367" s="279">
        <f t="shared" ref="D367:N367" si="58">IFERROR((D324*(D165*2.5))/((D148+D149)*1.7+D165*2.5)/D165*1000,"")</f>
        <v>5.4687866795526188E-3</v>
      </c>
      <c r="E367" s="279">
        <f t="shared" si="58"/>
        <v>5.8586460790158402E-3</v>
      </c>
      <c r="F367" s="279">
        <f t="shared" si="58"/>
        <v>5.5958618341680477E-3</v>
      </c>
      <c r="G367" s="279">
        <f t="shared" si="58"/>
        <v>5.9690317118554085E-3</v>
      </c>
      <c r="H367" s="279">
        <f t="shared" si="58"/>
        <v>5.8879058324928894E-3</v>
      </c>
      <c r="I367" s="279">
        <f t="shared" si="58"/>
        <v>6.1775678426607174E-3</v>
      </c>
      <c r="J367" s="279">
        <f t="shared" si="58"/>
        <v>6.5600609942424327E-3</v>
      </c>
      <c r="K367" s="279">
        <f t="shared" si="58"/>
        <v>5.2815883836860866E-3</v>
      </c>
      <c r="L367" s="279">
        <f t="shared" si="58"/>
        <v>4.8447701085937017E-3</v>
      </c>
      <c r="M367" s="279">
        <f t="shared" si="58"/>
        <v>5.732537492938024E-3</v>
      </c>
      <c r="N367" s="279">
        <f t="shared" si="58"/>
        <v>5.7769271745757769E-3</v>
      </c>
      <c r="O367" s="29"/>
      <c r="P367" s="29"/>
    </row>
    <row r="368" spans="1:16" x14ac:dyDescent="0.3">
      <c r="A368" s="58" t="s">
        <v>930</v>
      </c>
      <c r="B368" s="191" t="s">
        <v>931</v>
      </c>
      <c r="C368" s="280">
        <f>' Macroeconomy (ktoe)'!C161/1000</f>
        <v>3.3620710000000005E-2</v>
      </c>
      <c r="D368" s="280">
        <f>' Macroeconomy (ktoe)'!D161/1000</f>
        <v>4.5357830000000002E-2</v>
      </c>
      <c r="E368" s="280">
        <f>' Macroeconomy (ktoe)'!E161/1000</f>
        <v>5.9698050000000003E-2</v>
      </c>
      <c r="F368" s="280">
        <f>' Macroeconomy (ktoe)'!F161/1000</f>
        <v>4.761543E-2</v>
      </c>
      <c r="G368" s="280">
        <f>' Macroeconomy (ktoe)'!G161/1000</f>
        <v>4.7639819999999999E-2</v>
      </c>
      <c r="H368" s="280">
        <f>' Macroeconomy (ktoe)'!H161/1000</f>
        <v>4.995115E-2</v>
      </c>
      <c r="I368" s="280">
        <f>' Macroeconomy (ktoe)'!I161/1000</f>
        <v>4.5808930000000005E-2</v>
      </c>
      <c r="J368" s="280">
        <f>' Macroeconomy (ktoe)'!J161/1000</f>
        <v>5.9624780000000002E-2</v>
      </c>
      <c r="K368" s="280">
        <f>' Macroeconomy (ktoe)'!K161/1000</f>
        <v>6.9374900000000017E-2</v>
      </c>
      <c r="L368" s="280">
        <f>' Macroeconomy (ktoe)'!L161/1000</f>
        <v>6.8503391611732092E-2</v>
      </c>
      <c r="M368" s="280">
        <f>' Macroeconomy (ktoe)'!M161/1000</f>
        <v>2.5198242094200823E-2</v>
      </c>
      <c r="N368" s="280">
        <f>' Macroeconomy (ktoe)'!N161/1000</f>
        <v>4.3040030572274769E-2</v>
      </c>
      <c r="O368" s="29"/>
      <c r="P368" s="29"/>
    </row>
  </sheetData>
  <conditionalFormatting sqref="C18:N19 C50:N54 C174:N182">
    <cfRule type="containsBlanks" dxfId="941" priority="960">
      <formula>LEN(TRIM(C18))=0</formula>
    </cfRule>
  </conditionalFormatting>
  <conditionalFormatting sqref="C9:I11 C8:N8">
    <cfRule type="containsBlanks" dxfId="940" priority="1010">
      <formula>LEN(TRIM(C8))=0</formula>
    </cfRule>
  </conditionalFormatting>
  <conditionalFormatting sqref="J9:K11">
    <cfRule type="containsBlanks" dxfId="939" priority="993">
      <formula>LEN(TRIM(J9))=0</formula>
    </cfRule>
  </conditionalFormatting>
  <conditionalFormatting sqref="L23 L27:L28 L25">
    <cfRule type="containsBlanks" dxfId="938" priority="943">
      <formula>LEN(TRIM(L23))=0</formula>
    </cfRule>
  </conditionalFormatting>
  <conditionalFormatting sqref="L9:L11">
    <cfRule type="containsBlanks" dxfId="937" priority="991">
      <formula>LEN(TRIM(L9))=0</formula>
    </cfRule>
  </conditionalFormatting>
  <conditionalFormatting sqref="M9:N11">
    <cfRule type="containsBlanks" dxfId="936" priority="990">
      <formula>LEN(TRIM(M9))=0</formula>
    </cfRule>
  </conditionalFormatting>
  <conditionalFormatting sqref="O10:O11">
    <cfRule type="expression" dxfId="935" priority="2894">
      <formula>AND($AK8&lt;&gt;"",ISBLANK($E8:$AG8))</formula>
    </cfRule>
  </conditionalFormatting>
  <conditionalFormatting sqref="C17:I17">
    <cfRule type="containsBlanks" dxfId="934" priority="988">
      <formula>LEN(TRIM(C17))=0</formula>
    </cfRule>
  </conditionalFormatting>
  <conditionalFormatting sqref="J17:K17">
    <cfRule type="containsBlanks" dxfId="933" priority="971">
      <formula>LEN(TRIM(J17))=0</formula>
    </cfRule>
  </conditionalFormatting>
  <conditionalFormatting sqref="C55:G55">
    <cfRule type="containsBlanks" dxfId="932" priority="863">
      <formula>LEN(TRIM(C55))=0</formula>
    </cfRule>
  </conditionalFormatting>
  <conditionalFormatting sqref="M17:N17">
    <cfRule type="containsBlanks" dxfId="931" priority="966">
      <formula>LEN(TRIM(M17))=0</formula>
    </cfRule>
  </conditionalFormatting>
  <conditionalFormatting sqref="L17">
    <cfRule type="containsBlanks" dxfId="930" priority="964">
      <formula>LEN(TRIM(L17))=0</formula>
    </cfRule>
  </conditionalFormatting>
  <conditionalFormatting sqref="C14:N16">
    <cfRule type="containsBlanks" dxfId="929" priority="961">
      <formula>LEN(TRIM(C14))=0</formula>
    </cfRule>
  </conditionalFormatting>
  <conditionalFormatting sqref="L24">
    <cfRule type="containsBlanks" dxfId="928" priority="941">
      <formula>LEN(TRIM(L24))=0</formula>
    </cfRule>
  </conditionalFormatting>
  <conditionalFormatting sqref="J29:L29">
    <cfRule type="containsBlanks" dxfId="927" priority="940">
      <formula>LEN(TRIM(J29))=0</formula>
    </cfRule>
  </conditionalFormatting>
  <conditionalFormatting sqref="C23:I23 C27:I29 C25:I25">
    <cfRule type="containsBlanks" dxfId="926" priority="959">
      <formula>LEN(TRIM(C23))=0</formula>
    </cfRule>
  </conditionalFormatting>
  <conditionalFormatting sqref="C26:I26">
    <cfRule type="containsBlanks" dxfId="925" priority="958">
      <formula>LEN(TRIM(C26))=0</formula>
    </cfRule>
  </conditionalFormatting>
  <conditionalFormatting sqref="C24:I24">
    <cfRule type="containsBlanks" dxfId="924" priority="957">
      <formula>LEN(TRIM(C24))=0</formula>
    </cfRule>
  </conditionalFormatting>
  <conditionalFormatting sqref="O23:O25 O27:O29">
    <cfRule type="expression" dxfId="923" priority="956">
      <formula>AND(COUNT(K24:XEM24)&lt;&gt;0,(O23)="")</formula>
    </cfRule>
  </conditionalFormatting>
  <conditionalFormatting sqref="J23:K23 J27:K28 J25:K25">
    <cfRule type="containsBlanks" dxfId="922" priority="954">
      <formula>LEN(TRIM(J23))=0</formula>
    </cfRule>
  </conditionalFormatting>
  <conditionalFormatting sqref="J26:K26">
    <cfRule type="containsBlanks" dxfId="921" priority="953">
      <formula>LEN(TRIM(J26))=0</formula>
    </cfRule>
  </conditionalFormatting>
  <conditionalFormatting sqref="J24:K24">
    <cfRule type="containsBlanks" dxfId="920" priority="952">
      <formula>LEN(TRIM(J24))=0</formula>
    </cfRule>
  </conditionalFormatting>
  <conditionalFormatting sqref="C42:N43">
    <cfRule type="containsBlanks" dxfId="919" priority="895">
      <formula>LEN(TRIM(C42))=0</formula>
    </cfRule>
  </conditionalFormatting>
  <conditionalFormatting sqref="L26">
    <cfRule type="containsBlanks" dxfId="918" priority="942">
      <formula>LEN(TRIM(L26))=0</formula>
    </cfRule>
  </conditionalFormatting>
  <conditionalFormatting sqref="O23:O25 O27:O29">
    <cfRule type="expression" dxfId="917" priority="2895">
      <formula>AND($AK24&lt;&gt;"",ISBLANK($E24:$AG24))</formula>
    </cfRule>
  </conditionalFormatting>
  <conditionalFormatting sqref="C32:I35 C36:E37">
    <cfRule type="containsBlanks" dxfId="916" priority="939">
      <formula>LEN(TRIM(C32))=0</formula>
    </cfRule>
  </conditionalFormatting>
  <conditionalFormatting sqref="C38:E38">
    <cfRule type="containsBlanks" dxfId="915" priority="938">
      <formula>LEN(TRIM(C38))=0</formula>
    </cfRule>
  </conditionalFormatting>
  <conditionalFormatting sqref="L38">
    <cfRule type="containsBlanks" dxfId="914" priority="921">
      <formula>LEN(TRIM(L38))=0</formula>
    </cfRule>
  </conditionalFormatting>
  <conditionalFormatting sqref="J32:K35">
    <cfRule type="containsBlanks" dxfId="913" priority="920">
      <formula>LEN(TRIM(J32))=0</formula>
    </cfRule>
  </conditionalFormatting>
  <conditionalFormatting sqref="D81:N83">
    <cfRule type="containsBlanks" dxfId="912" priority="768">
      <formula>LEN(TRIM(D81))=0</formula>
    </cfRule>
  </conditionalFormatting>
  <conditionalFormatting sqref="F38:K38">
    <cfRule type="containsBlanks" dxfId="911" priority="918">
      <formula>LEN(TRIM(F38))=0</formula>
    </cfRule>
  </conditionalFormatting>
  <conditionalFormatting sqref="J61:L61">
    <cfRule type="containsBlanks" dxfId="910" priority="830">
      <formula>LEN(TRIM(J61))=0</formula>
    </cfRule>
  </conditionalFormatting>
  <conditionalFormatting sqref="M35">
    <cfRule type="containsBlanks" dxfId="909" priority="916">
      <formula>LEN(TRIM(M35))=0</formula>
    </cfRule>
  </conditionalFormatting>
  <conditionalFormatting sqref="N35">
    <cfRule type="containsBlanks" dxfId="908" priority="915">
      <formula>LEN(TRIM(N35))=0</formula>
    </cfRule>
  </conditionalFormatting>
  <conditionalFormatting sqref="L60">
    <cfRule type="containsBlanks" dxfId="907" priority="828">
      <formula>LEN(TRIM(L60))=0</formula>
    </cfRule>
  </conditionalFormatting>
  <conditionalFormatting sqref="M38:N38">
    <cfRule type="containsBlanks" dxfId="906" priority="913">
      <formula>LEN(TRIM(M38))=0</formula>
    </cfRule>
  </conditionalFormatting>
  <conditionalFormatting sqref="L32:L35">
    <cfRule type="containsBlanks" dxfId="905" priority="912">
      <formula>LEN(TRIM(L32))=0</formula>
    </cfRule>
  </conditionalFormatting>
  <conditionalFormatting sqref="O32:O34 O36:O37">
    <cfRule type="expression" dxfId="904" priority="910">
      <formula>AND(COUNT(K33:XEM33)&lt;&gt;0,(O32)="")</formula>
    </cfRule>
  </conditionalFormatting>
  <conditionalFormatting sqref="O32:O34 O36:O37">
    <cfRule type="expression" dxfId="903" priority="911">
      <formula>AND($AK33&lt;&gt;"",ISBLANK($E33:$AG33))</formula>
    </cfRule>
  </conditionalFormatting>
  <conditionalFormatting sqref="F36:N37">
    <cfRule type="containsBlanks" dxfId="902" priority="909">
      <formula>LEN(TRIM(F36))=0</formula>
    </cfRule>
  </conditionalFormatting>
  <conditionalFormatting sqref="M32:N34">
    <cfRule type="containsBlanks" dxfId="901" priority="908">
      <formula>LEN(TRIM(M32))=0</formula>
    </cfRule>
  </conditionalFormatting>
  <conditionalFormatting sqref="M24:N29">
    <cfRule type="containsBlanks" dxfId="900" priority="907">
      <formula>LEN(TRIM(M24))=0</formula>
    </cfRule>
  </conditionalFormatting>
  <conditionalFormatting sqref="M23:N23">
    <cfRule type="containsBlanks" dxfId="899" priority="906">
      <formula>LEN(TRIM(M23))=0</formula>
    </cfRule>
  </conditionalFormatting>
  <conditionalFormatting sqref="H55:N55">
    <cfRule type="containsBlanks" dxfId="898" priority="857">
      <formula>LEN(TRIM(H55))=0</formula>
    </cfRule>
  </conditionalFormatting>
  <conditionalFormatting sqref="G65:L65">
    <cfRule type="containsBlanks" dxfId="897" priority="831">
      <formula>LEN(TRIM(G65))=0</formula>
    </cfRule>
  </conditionalFormatting>
  <conditionalFormatting sqref="J59:L59">
    <cfRule type="containsBlanks" dxfId="896" priority="827">
      <formula>LEN(TRIM(J59))=0</formula>
    </cfRule>
  </conditionalFormatting>
  <conditionalFormatting sqref="M61:N61">
    <cfRule type="containsBlanks" dxfId="895" priority="826">
      <formula>LEN(TRIM(M61))=0</formula>
    </cfRule>
  </conditionalFormatting>
  <conditionalFormatting sqref="M60:N60">
    <cfRule type="containsBlanks" dxfId="894" priority="825">
      <formula>LEN(TRIM(M60))=0</formula>
    </cfRule>
  </conditionalFormatting>
  <conditionalFormatting sqref="M59:N59">
    <cfRule type="containsBlanks" dxfId="893" priority="824">
      <formula>LEN(TRIM(M59))=0</formula>
    </cfRule>
  </conditionalFormatting>
  <conditionalFormatting sqref="C49:N49">
    <cfRule type="containsBlanks" dxfId="892" priority="823">
      <formula>LEN(TRIM(C49))=0</formula>
    </cfRule>
  </conditionalFormatting>
  <conditionalFormatting sqref="O42:O44">
    <cfRule type="expression" dxfId="891" priority="893">
      <formula>AND(COUNT(K43:XEM43)&lt;&gt;0,(O42)="")</formula>
    </cfRule>
  </conditionalFormatting>
  <conditionalFormatting sqref="O42:O44">
    <cfRule type="expression" dxfId="890" priority="894">
      <formula>AND($AK43&lt;&gt;"",ISBLANK($E43:$AG43))</formula>
    </cfRule>
  </conditionalFormatting>
  <conditionalFormatting sqref="J60:K60">
    <cfRule type="containsBlanks" dxfId="889" priority="829">
      <formula>LEN(TRIM(J60))=0</formula>
    </cfRule>
  </conditionalFormatting>
  <conditionalFormatting sqref="O55">
    <cfRule type="expression" dxfId="888" priority="861">
      <formula>AND(COUNT(K56:XEM56)&lt;&gt;0,(O55)="")</formula>
    </cfRule>
  </conditionalFormatting>
  <conditionalFormatting sqref="O55">
    <cfRule type="expression" dxfId="887" priority="862">
      <formula>AND($AK56&lt;&gt;"",ISBLANK($E56:$AG56))</formula>
    </cfRule>
  </conditionalFormatting>
  <conditionalFormatting sqref="C59:I64 C65:F65">
    <cfRule type="containsBlanks" dxfId="886" priority="856">
      <formula>LEN(TRIM(C59))=0</formula>
    </cfRule>
  </conditionalFormatting>
  <conditionalFormatting sqref="O59:O61 O63:O65">
    <cfRule type="expression" dxfId="885" priority="841">
      <formula>AND(COUNT(K58:XEM58)&lt;&gt;0,(O59)="")</formula>
    </cfRule>
  </conditionalFormatting>
  <conditionalFormatting sqref="L63:L64">
    <cfRule type="containsBlanks" dxfId="884" priority="839">
      <formula>LEN(TRIM(L63))=0</formula>
    </cfRule>
  </conditionalFormatting>
  <conditionalFormatting sqref="L62">
    <cfRule type="containsBlanks" dxfId="883" priority="838">
      <formula>LEN(TRIM(L62))=0</formula>
    </cfRule>
  </conditionalFormatting>
  <conditionalFormatting sqref="J62:K64">
    <cfRule type="containsBlanks" dxfId="882" priority="837">
      <formula>LEN(TRIM(J62))=0</formula>
    </cfRule>
  </conditionalFormatting>
  <conditionalFormatting sqref="M63:M64">
    <cfRule type="containsBlanks" dxfId="881" priority="836">
      <formula>LEN(TRIM(M63))=0</formula>
    </cfRule>
  </conditionalFormatting>
  <conditionalFormatting sqref="N63:N64">
    <cfRule type="containsBlanks" dxfId="880" priority="835">
      <formula>LEN(TRIM(N63))=0</formula>
    </cfRule>
  </conditionalFormatting>
  <conditionalFormatting sqref="O59:O61 O63:O65">
    <cfRule type="expression" dxfId="879" priority="2896">
      <formula>AND($AK58&lt;&gt;"",ISBLANK($E58:$AG58))</formula>
    </cfRule>
  </conditionalFormatting>
  <conditionalFormatting sqref="O49:O52 O174:O183 O282:O286">
    <cfRule type="expression" dxfId="878" priority="2899">
      <formula>AND(COUNT(K49:XEM49)&lt;&gt;0,(O49)="")</formula>
    </cfRule>
  </conditionalFormatting>
  <conditionalFormatting sqref="O49:O51 O174:O183 O282:O286">
    <cfRule type="expression" dxfId="877" priority="2901">
      <formula>AND($AK49&lt;&gt;"",ISBLANK($E49:$AG49))</formula>
    </cfRule>
  </conditionalFormatting>
  <conditionalFormatting sqref="O52">
    <cfRule type="expression" dxfId="876" priority="2902">
      <formula>AND($AK52&lt;&gt;"",ISBLANK($P52:$AG52))</formula>
    </cfRule>
  </conditionalFormatting>
  <conditionalFormatting sqref="M65:N65">
    <cfRule type="containsBlanks" dxfId="875" priority="822">
      <formula>LEN(TRIM(M65))=0</formula>
    </cfRule>
  </conditionalFormatting>
  <conditionalFormatting sqref="C71:I76 C77:G77">
    <cfRule type="containsBlanks" dxfId="874" priority="821">
      <formula>LEN(TRIM(C71))=0</formula>
    </cfRule>
  </conditionalFormatting>
  <conditionalFormatting sqref="O71:O77">
    <cfRule type="expression" dxfId="873" priority="806">
      <formula>AND(COUNT(K71:XEM71)&lt;&gt;0,(O71)="")</formula>
    </cfRule>
  </conditionalFormatting>
  <conditionalFormatting sqref="O71:O77">
    <cfRule type="expression" dxfId="872" priority="805">
      <formula>AND($AK71&lt;&gt;"",ISBLANK($E71:$AG71))</formula>
    </cfRule>
  </conditionalFormatting>
  <conditionalFormatting sqref="J71:K76">
    <cfRule type="containsBlanks" dxfId="871" priority="804">
      <formula>LEN(TRIM(J71))=0</formula>
    </cfRule>
  </conditionalFormatting>
  <conditionalFormatting sqref="L75:L76">
    <cfRule type="containsBlanks" dxfId="870" priority="803">
      <formula>LEN(TRIM(L75))=0</formula>
    </cfRule>
  </conditionalFormatting>
  <conditionalFormatting sqref="M75:N76">
    <cfRule type="containsBlanks" dxfId="869" priority="802">
      <formula>LEN(TRIM(M75))=0</formula>
    </cfRule>
  </conditionalFormatting>
  <conditionalFormatting sqref="C122:N124">
    <cfRule type="containsBlanks" dxfId="868" priority="648">
      <formula>LEN(TRIM(C122))=0</formula>
    </cfRule>
  </conditionalFormatting>
  <conditionalFormatting sqref="L71:L74">
    <cfRule type="containsBlanks" dxfId="867" priority="797">
      <formula>LEN(TRIM(L71))=0</formula>
    </cfRule>
  </conditionalFormatting>
  <conditionalFormatting sqref="H77:L77">
    <cfRule type="containsBlanks" dxfId="866" priority="796">
      <formula>LEN(TRIM(H77))=0</formula>
    </cfRule>
  </conditionalFormatting>
  <conditionalFormatting sqref="M71:N74">
    <cfRule type="containsBlanks" dxfId="865" priority="795">
      <formula>LEN(TRIM(M71))=0</formula>
    </cfRule>
  </conditionalFormatting>
  <conditionalFormatting sqref="M77:N77">
    <cfRule type="containsBlanks" dxfId="864" priority="794">
      <formula>LEN(TRIM(M77))=0</formula>
    </cfRule>
  </conditionalFormatting>
  <conditionalFormatting sqref="C84:I86">
    <cfRule type="containsBlanks" dxfId="863" priority="793">
      <formula>LEN(TRIM(C84))=0</formula>
    </cfRule>
  </conditionalFormatting>
  <conditionalFormatting sqref="O84:O86">
    <cfRule type="expression" dxfId="862" priority="778">
      <formula>AND(COUNT(K84:XEM84)&lt;&gt;0,(O84)="")</formula>
    </cfRule>
  </conditionalFormatting>
  <conditionalFormatting sqref="O84:O86">
    <cfRule type="expression" dxfId="861" priority="777">
      <formula>AND($AK84&lt;&gt;"",ISBLANK($E84:$AG84))</formula>
    </cfRule>
  </conditionalFormatting>
  <conditionalFormatting sqref="L86">
    <cfRule type="containsBlanks" dxfId="860" priority="776">
      <formula>LEN(TRIM(L86))=0</formula>
    </cfRule>
  </conditionalFormatting>
  <conditionalFormatting sqref="J84:K86">
    <cfRule type="containsBlanks" dxfId="859" priority="775">
      <formula>LEN(TRIM(J84))=0</formula>
    </cfRule>
  </conditionalFormatting>
  <conditionalFormatting sqref="M84:N86">
    <cfRule type="containsBlanks" dxfId="858" priority="774">
      <formula>LEN(TRIM(M84))=0</formula>
    </cfRule>
  </conditionalFormatting>
  <conditionalFormatting sqref="C121:N121">
    <cfRule type="containsBlanks" dxfId="857" priority="647">
      <formula>LEN(TRIM(C121))=0</formula>
    </cfRule>
  </conditionalFormatting>
  <conditionalFormatting sqref="L84:L85">
    <cfRule type="containsBlanks" dxfId="856" priority="770">
      <formula>LEN(TRIM(L84))=0</formula>
    </cfRule>
  </conditionalFormatting>
  <conditionalFormatting sqref="C81:C83">
    <cfRule type="containsBlanks" dxfId="855" priority="769">
      <formula>LEN(TRIM(C81))=0</formula>
    </cfRule>
  </conditionalFormatting>
  <conditionalFormatting sqref="C87:N87">
    <cfRule type="containsBlanks" dxfId="854" priority="767">
      <formula>LEN(TRIM(C87))=0</formula>
    </cfRule>
  </conditionalFormatting>
  <conditionalFormatting sqref="O81:O83">
    <cfRule type="expression" dxfId="853" priority="766">
      <formula>AND(COUNT(K81:XEM81)&lt;&gt;0,(O81)="")</formula>
    </cfRule>
  </conditionalFormatting>
  <conditionalFormatting sqref="O81:O83">
    <cfRule type="expression" dxfId="852" priority="765">
      <formula>AND($AK81&lt;&gt;"",ISBLANK($E81:$AG81))</formula>
    </cfRule>
  </conditionalFormatting>
  <conditionalFormatting sqref="O87">
    <cfRule type="expression" dxfId="851" priority="764">
      <formula>AND(COUNT(K87:XEM87)&lt;&gt;0,(O87)="")</formula>
    </cfRule>
  </conditionalFormatting>
  <conditionalFormatting sqref="O87">
    <cfRule type="expression" dxfId="850" priority="763">
      <formula>AND($AK87&lt;&gt;"",ISBLANK($E87:$AG87))</formula>
    </cfRule>
  </conditionalFormatting>
  <conditionalFormatting sqref="C95:N97">
    <cfRule type="containsBlanks" dxfId="849" priority="686">
      <formula>LEN(TRIM(C95))=0</formula>
    </cfRule>
  </conditionalFormatting>
  <conditionalFormatting sqref="C98:N98">
    <cfRule type="containsBlanks" dxfId="848" priority="685">
      <formula>LEN(TRIM(C98))=0</formula>
    </cfRule>
  </conditionalFormatting>
  <conditionalFormatting sqref="O95:O98">
    <cfRule type="expression" dxfId="847" priority="684">
      <formula>AND(COUNT(K95:XEM95)&lt;&gt;0,(O95)="")</formula>
    </cfRule>
  </conditionalFormatting>
  <conditionalFormatting sqref="O95:O98">
    <cfRule type="expression" dxfId="846" priority="683">
      <formula>AND($AK95&lt;&gt;"",ISBLANK($E95:$AG95))</formula>
    </cfRule>
  </conditionalFormatting>
  <conditionalFormatting sqref="O101:O103">
    <cfRule type="expression" dxfId="845" priority="682">
      <formula>AND(COUNT(K101:XEM101)&lt;&gt;0,(O101)="")</formula>
    </cfRule>
  </conditionalFormatting>
  <conditionalFormatting sqref="O101:O103">
    <cfRule type="expression" dxfId="844" priority="681">
      <formula>AND($AK101&lt;&gt;"",ISBLANK($E101:$AG101))</formula>
    </cfRule>
  </conditionalFormatting>
  <conditionalFormatting sqref="C101:N103">
    <cfRule type="containsBlanks" dxfId="843" priority="680">
      <formula>LEN(TRIM(C101))=0</formula>
    </cfRule>
  </conditionalFormatting>
  <conditionalFormatting sqref="C108:N110">
    <cfRule type="containsBlanks" dxfId="842" priority="679">
      <formula>LEN(TRIM(C108))=0</formula>
    </cfRule>
  </conditionalFormatting>
  <conditionalFormatting sqref="C107:N107">
    <cfRule type="containsBlanks" dxfId="841" priority="678">
      <formula>LEN(TRIM(C107))=0</formula>
    </cfRule>
  </conditionalFormatting>
  <conditionalFormatting sqref="O107:O110">
    <cfRule type="expression" dxfId="840" priority="676">
      <formula>AND(COUNT(K107:XEM107)&lt;&gt;0,(O107)="")</formula>
    </cfRule>
  </conditionalFormatting>
  <conditionalFormatting sqref="O107:O110">
    <cfRule type="expression" dxfId="839" priority="675">
      <formula>AND($AK107&lt;&gt;"",ISBLANK($E107:$AG107))</formula>
    </cfRule>
  </conditionalFormatting>
  <conditionalFormatting sqref="O113:O115">
    <cfRule type="expression" dxfId="838" priority="674">
      <formula>AND(COUNT(K113:XEM113)&lt;&gt;0,(O113)="")</formula>
    </cfRule>
  </conditionalFormatting>
  <conditionalFormatting sqref="O113:O115">
    <cfRule type="expression" dxfId="837" priority="673">
      <formula>AND($AK113&lt;&gt;"",ISBLANK($E113:$AG113))</formula>
    </cfRule>
  </conditionalFormatting>
  <conditionalFormatting sqref="C113:N115">
    <cfRule type="containsBlanks" dxfId="836" priority="672">
      <formula>LEN(TRIM(C113))=0</formula>
    </cfRule>
  </conditionalFormatting>
  <conditionalFormatting sqref="O121:O124">
    <cfRule type="expression" dxfId="835" priority="646">
      <formula>AND(COUNT(K121:XEM121)&lt;&gt;0,(O121)="")</formula>
    </cfRule>
  </conditionalFormatting>
  <conditionalFormatting sqref="O121:O124">
    <cfRule type="expression" dxfId="834" priority="645">
      <formula>AND($AK121&lt;&gt;"",ISBLANK($E121:$AG121))</formula>
    </cfRule>
  </conditionalFormatting>
  <conditionalFormatting sqref="N130:N137">
    <cfRule type="containsBlanks" dxfId="833" priority="642">
      <formula>LEN(TRIM(N130))=0</formula>
    </cfRule>
  </conditionalFormatting>
  <conditionalFormatting sqref="C130:M137">
    <cfRule type="containsBlanks" dxfId="832" priority="640">
      <formula>LEN(TRIM(C130))=0</formula>
    </cfRule>
  </conditionalFormatting>
  <conditionalFormatting sqref="O130:O137">
    <cfRule type="expression" dxfId="831" priority="639">
      <formula>AND(COUNT(K130:XEM130)&lt;&gt;0,(O130)="")</formula>
    </cfRule>
  </conditionalFormatting>
  <conditionalFormatting sqref="O130:O137">
    <cfRule type="expression" dxfId="830" priority="638">
      <formula>AND($AK130&lt;&gt;"",ISBLANK($E130:$AG130))</formula>
    </cfRule>
  </conditionalFormatting>
  <conditionalFormatting sqref="P130">
    <cfRule type="expression" dxfId="829" priority="637">
      <formula>AND(COUNT(L130:XEN130)&lt;&gt;0,(P130)="")</formula>
    </cfRule>
  </conditionalFormatting>
  <conditionalFormatting sqref="P130">
    <cfRule type="expression" dxfId="828" priority="636">
      <formula>AND($AK130&lt;&gt;"",ISBLANK($E130:$AG130))</formula>
    </cfRule>
  </conditionalFormatting>
  <conditionalFormatting sqref="O145:O152">
    <cfRule type="expression" dxfId="827" priority="635">
      <formula>AND(COUNT(K145:XEM145)&lt;&gt;0,(O145)="")</formula>
    </cfRule>
  </conditionalFormatting>
  <conditionalFormatting sqref="O145:O152">
    <cfRule type="expression" dxfId="826" priority="634">
      <formula>AND($AK145&lt;&gt;"",ISBLANK($E145:$AG145))</formula>
    </cfRule>
  </conditionalFormatting>
  <conditionalFormatting sqref="C155:I156 K155:K156 K159 C159:I159">
    <cfRule type="containsBlanks" dxfId="825" priority="632">
      <formula>LEN(TRIM(C155))=0</formula>
    </cfRule>
  </conditionalFormatting>
  <conditionalFormatting sqref="C145:K145 C144:F144 C146:I146 C148:I148 C152:L152">
    <cfRule type="containsBlanks" dxfId="824" priority="633">
      <formula>LEN(TRIM(C144))=0</formula>
    </cfRule>
  </conditionalFormatting>
  <conditionalFormatting sqref="O155:O159">
    <cfRule type="expression" dxfId="823" priority="631">
      <formula>AND(COUNT(K155:XEM155)&lt;&gt;0,(O155)="")</formula>
    </cfRule>
  </conditionalFormatting>
  <conditionalFormatting sqref="O155:O159">
    <cfRule type="expression" dxfId="822" priority="630">
      <formula>AND($AK155&lt;&gt;"",ISBLANK($E155:$AG155))</formula>
    </cfRule>
  </conditionalFormatting>
  <conditionalFormatting sqref="L145">
    <cfRule type="containsBlanks" dxfId="821" priority="629">
      <formula>LEN(TRIM(L145))=0</formula>
    </cfRule>
  </conditionalFormatting>
  <conditionalFormatting sqref="J155:J156 J159">
    <cfRule type="containsBlanks" dxfId="820" priority="627">
      <formula>LEN(TRIM(J155))=0</formula>
    </cfRule>
  </conditionalFormatting>
  <conditionalFormatting sqref="J146:K146 J148:K148">
    <cfRule type="containsBlanks" dxfId="819" priority="624">
      <formula>LEN(TRIM(J146))=0</formula>
    </cfRule>
  </conditionalFormatting>
  <conditionalFormatting sqref="G144:J144">
    <cfRule type="containsBlanks" dxfId="818" priority="623">
      <formula>LEN(TRIM(G144))=0</formula>
    </cfRule>
  </conditionalFormatting>
  <conditionalFormatting sqref="O144">
    <cfRule type="expression" dxfId="817" priority="622">
      <formula>AND(COUNT(K144:XEM144)&lt;&gt;0,(O144)="")</formula>
    </cfRule>
  </conditionalFormatting>
  <conditionalFormatting sqref="O144">
    <cfRule type="expression" dxfId="816" priority="621">
      <formula>AND($AK144&lt;&gt;"",ISBLANK($E144:$AG144))</formula>
    </cfRule>
  </conditionalFormatting>
  <conditionalFormatting sqref="M152">
    <cfRule type="containsBlanks" dxfId="815" priority="620">
      <formula>LEN(TRIM(M152))=0</formula>
    </cfRule>
  </conditionalFormatting>
  <conditionalFormatting sqref="M145">
    <cfRule type="containsBlanks" dxfId="814" priority="619">
      <formula>LEN(TRIM(M145))=0</formula>
    </cfRule>
  </conditionalFormatting>
  <conditionalFormatting sqref="L146 L148">
    <cfRule type="containsBlanks" dxfId="813" priority="612">
      <formula>LEN(TRIM(L146))=0</formula>
    </cfRule>
  </conditionalFormatting>
  <conditionalFormatting sqref="K144">
    <cfRule type="containsBlanks" dxfId="812" priority="608">
      <formula>LEN(TRIM(K144))=0</formula>
    </cfRule>
  </conditionalFormatting>
  <conditionalFormatting sqref="L144">
    <cfRule type="containsBlanks" dxfId="811" priority="606">
      <formula>LEN(TRIM(L144))=0</formula>
    </cfRule>
  </conditionalFormatting>
  <conditionalFormatting sqref="N152">
    <cfRule type="containsBlanks" dxfId="810" priority="605">
      <formula>LEN(TRIM(N152))=0</formula>
    </cfRule>
  </conditionalFormatting>
  <conditionalFormatting sqref="N145">
    <cfRule type="containsBlanks" dxfId="809" priority="604">
      <formula>LEN(TRIM(N145))=0</formula>
    </cfRule>
  </conditionalFormatting>
  <conditionalFormatting sqref="C147:N147">
    <cfRule type="containsBlanks" dxfId="808" priority="589">
      <formula>LEN(TRIM(C147))=0</formula>
    </cfRule>
  </conditionalFormatting>
  <conditionalFormatting sqref="M146:N146">
    <cfRule type="containsBlanks" dxfId="807" priority="588">
      <formula>LEN(TRIM(M146))=0</formula>
    </cfRule>
  </conditionalFormatting>
  <conditionalFormatting sqref="C149:N151">
    <cfRule type="containsBlanks" dxfId="806" priority="587">
      <formula>LEN(TRIM(C149))=0</formula>
    </cfRule>
  </conditionalFormatting>
  <conditionalFormatting sqref="M148:N148">
    <cfRule type="containsBlanks" dxfId="805" priority="584">
      <formula>LEN(TRIM(M148))=0</formula>
    </cfRule>
  </conditionalFormatting>
  <conditionalFormatting sqref="C157:K158">
    <cfRule type="containsBlanks" dxfId="804" priority="583">
      <formula>LEN(TRIM(C157))=0</formula>
    </cfRule>
  </conditionalFormatting>
  <conditionalFormatting sqref="L155:N156 L159:N159">
    <cfRule type="containsBlanks" dxfId="803" priority="582">
      <formula>LEN(TRIM(L155))=0</formula>
    </cfRule>
  </conditionalFormatting>
  <conditionalFormatting sqref="L157:N158">
    <cfRule type="containsBlanks" dxfId="802" priority="581">
      <formula>LEN(TRIM(L157))=0</formula>
    </cfRule>
  </conditionalFormatting>
  <conditionalFormatting sqref="P144">
    <cfRule type="expression" dxfId="801" priority="580">
      <formula>AND(COUNT(L144:XEN144)&lt;&gt;0,(P144)="")</formula>
    </cfRule>
  </conditionalFormatting>
  <conditionalFormatting sqref="P144">
    <cfRule type="expression" dxfId="800" priority="579">
      <formula>AND($AK144&lt;&gt;"",ISBLANK($E144:$AG144))</formula>
    </cfRule>
  </conditionalFormatting>
  <conditionalFormatting sqref="P146:P151">
    <cfRule type="expression" dxfId="799" priority="578">
      <formula>AND(COUNT(L146:XEN146)&lt;&gt;0,(P146)="")</formula>
    </cfRule>
  </conditionalFormatting>
  <conditionalFormatting sqref="P146:P151">
    <cfRule type="expression" dxfId="798" priority="577">
      <formula>AND($AK146&lt;&gt;"",ISBLANK($E146:$AG146))</formula>
    </cfRule>
  </conditionalFormatting>
  <conditionalFormatting sqref="P155:P159">
    <cfRule type="expression" dxfId="797" priority="576">
      <formula>AND(COUNT(L155:XEN155)&lt;&gt;0,(P155)="")</formula>
    </cfRule>
  </conditionalFormatting>
  <conditionalFormatting sqref="P155:P159">
    <cfRule type="expression" dxfId="796" priority="575">
      <formula>AND($AK155&lt;&gt;"",ISBLANK($E155:$AG155))</formula>
    </cfRule>
  </conditionalFormatting>
  <conditionalFormatting sqref="K166 C166:I166">
    <cfRule type="containsBlanks" dxfId="795" priority="574">
      <formula>LEN(TRIM(C166))=0</formula>
    </cfRule>
  </conditionalFormatting>
  <conditionalFormatting sqref="L166:N166">
    <cfRule type="containsBlanks" dxfId="794" priority="573">
      <formula>LEN(TRIM(L166))=0</formula>
    </cfRule>
  </conditionalFormatting>
  <conditionalFormatting sqref="J166">
    <cfRule type="containsBlanks" dxfId="793" priority="572">
      <formula>LEN(TRIM(J166))=0</formula>
    </cfRule>
  </conditionalFormatting>
  <conditionalFormatting sqref="O164:O166">
    <cfRule type="expression" dxfId="792" priority="571">
      <formula>AND(COUNT(K164:XEM164)&lt;&gt;0,(O164)="")</formula>
    </cfRule>
  </conditionalFormatting>
  <conditionalFormatting sqref="O164:O166">
    <cfRule type="expression" dxfId="791" priority="570">
      <formula>AND($AK164&lt;&gt;"",ISBLANK($E164:$AG164))</formula>
    </cfRule>
  </conditionalFormatting>
  <conditionalFormatting sqref="C165:N165 C164:M164">
    <cfRule type="containsBlanks" dxfId="790" priority="566">
      <formula>LEN(TRIM(C164))=0</formula>
    </cfRule>
  </conditionalFormatting>
  <conditionalFormatting sqref="P164">
    <cfRule type="expression" dxfId="789" priority="565">
      <formula>AND(COUNT(L164:XEN164)&lt;&gt;0,(P164)="")</formula>
    </cfRule>
  </conditionalFormatting>
  <conditionalFormatting sqref="P164">
    <cfRule type="expression" dxfId="788" priority="564">
      <formula>AND($AK164&lt;&gt;"",ISBLANK($E164:$AG164))</formula>
    </cfRule>
  </conditionalFormatting>
  <conditionalFormatting sqref="P165">
    <cfRule type="expression" dxfId="787" priority="563">
      <formula>AND(COUNT(L165:XEN165)&lt;&gt;0,(P165)="")</formula>
    </cfRule>
  </conditionalFormatting>
  <conditionalFormatting sqref="P165">
    <cfRule type="expression" dxfId="786" priority="562">
      <formula>AND($AK165&lt;&gt;"",ISBLANK($E165:$AG165))</formula>
    </cfRule>
  </conditionalFormatting>
  <conditionalFormatting sqref="C188:M190">
    <cfRule type="containsBlanks" dxfId="785" priority="492">
      <formula>LEN(TRIM(C188))=0</formula>
    </cfRule>
  </conditionalFormatting>
  <conditionalFormatting sqref="C191:M191">
    <cfRule type="containsBlanks" dxfId="784" priority="491">
      <formula>LEN(TRIM(C191))=0</formula>
    </cfRule>
  </conditionalFormatting>
  <conditionalFormatting sqref="O188:O191">
    <cfRule type="expression" dxfId="783" priority="490">
      <formula>AND(COUNT(K188:XEM188)&lt;&gt;0,(O188)="")</formula>
    </cfRule>
  </conditionalFormatting>
  <conditionalFormatting sqref="O188:O191">
    <cfRule type="expression" dxfId="782" priority="489">
      <formula>AND($AK188&lt;&gt;"",ISBLANK($E188:$AG188))</formula>
    </cfRule>
  </conditionalFormatting>
  <conditionalFormatting sqref="P188:P191">
    <cfRule type="expression" dxfId="781" priority="488">
      <formula>AND(COUNT(L188:XEN188)&lt;&gt;0,(P188)="")</formula>
    </cfRule>
  </conditionalFormatting>
  <conditionalFormatting sqref="P188:P191">
    <cfRule type="expression" dxfId="780" priority="487">
      <formula>AND($AK188&lt;&gt;"",ISBLANK($E188:$AG188))</formula>
    </cfRule>
  </conditionalFormatting>
  <conditionalFormatting sqref="C196:M198">
    <cfRule type="containsBlanks" dxfId="779" priority="423">
      <formula>LEN(TRIM(C196))=0</formula>
    </cfRule>
  </conditionalFormatting>
  <conditionalFormatting sqref="C203:M208">
    <cfRule type="containsBlanks" dxfId="778" priority="422">
      <formula>LEN(TRIM(C203))=0</formula>
    </cfRule>
  </conditionalFormatting>
  <conditionalFormatting sqref="P196:P197">
    <cfRule type="expression" dxfId="777" priority="421">
      <formula>AND(COUNT(L196:XEN196)&lt;&gt;0,(P196)="")</formula>
    </cfRule>
  </conditionalFormatting>
  <conditionalFormatting sqref="P196:P197">
    <cfRule type="expression" dxfId="776" priority="420">
      <formula>AND($AK196&lt;&gt;"",ISBLANK($E196:$AG196))</formula>
    </cfRule>
  </conditionalFormatting>
  <conditionalFormatting sqref="P203:P204">
    <cfRule type="expression" dxfId="775" priority="419">
      <formula>AND(COUNT(L203:XEN203)&lt;&gt;0,(P203)="")</formula>
    </cfRule>
  </conditionalFormatting>
  <conditionalFormatting sqref="P203:P204">
    <cfRule type="expression" dxfId="774" priority="418">
      <formula>AND($AK203&lt;&gt;"",ISBLANK($E203:$AG203))</formula>
    </cfRule>
  </conditionalFormatting>
  <conditionalFormatting sqref="P205:P206">
    <cfRule type="expression" dxfId="773" priority="417">
      <formula>AND(COUNT(L205:XEN205)&lt;&gt;0,(P205)="")</formula>
    </cfRule>
  </conditionalFormatting>
  <conditionalFormatting sqref="P205:P206">
    <cfRule type="expression" dxfId="772" priority="416">
      <formula>AND($AK205&lt;&gt;"",ISBLANK($E205:$AG205))</formula>
    </cfRule>
  </conditionalFormatting>
  <conditionalFormatting sqref="O267:O270">
    <cfRule type="expression" dxfId="771" priority="274">
      <formula>AND(COUNT(K267:XEM267)&lt;&gt;0,(O267)="")</formula>
    </cfRule>
  </conditionalFormatting>
  <conditionalFormatting sqref="O267:O270">
    <cfRule type="expression" dxfId="770" priority="273">
      <formula>AND($AK267&lt;&gt;"",ISBLANK($E267:$AG267))</formula>
    </cfRule>
  </conditionalFormatting>
  <conditionalFormatting sqref="C267:M270">
    <cfRule type="containsBlanks" dxfId="769" priority="272">
      <formula>LEN(TRIM(C267))=0</formula>
    </cfRule>
  </conditionalFormatting>
  <conditionalFormatting sqref="C274:N274">
    <cfRule type="containsBlanks" dxfId="768" priority="265">
      <formula>LEN(TRIM(C274))=0</formula>
    </cfRule>
  </conditionalFormatting>
  <conditionalFormatting sqref="O274">
    <cfRule type="expression" dxfId="767" priority="264">
      <formula>AND(COUNT(K274:XEM274)&lt;&gt;0,(O274)="")</formula>
    </cfRule>
  </conditionalFormatting>
  <conditionalFormatting sqref="O274">
    <cfRule type="expression" dxfId="766" priority="263">
      <formula>AND($AK274&lt;&gt;"",ISBLANK($E274:$AG274))</formula>
    </cfRule>
  </conditionalFormatting>
  <conditionalFormatting sqref="P274">
    <cfRule type="expression" dxfId="765" priority="262">
      <formula>AND(COUNT(L274:XEN274)&lt;&gt;0,(P274)="")</formula>
    </cfRule>
  </conditionalFormatting>
  <conditionalFormatting sqref="P274">
    <cfRule type="expression" dxfId="764" priority="261">
      <formula>AND($AK274&lt;&gt;"",ISBLANK($E274:$AG274))</formula>
    </cfRule>
  </conditionalFormatting>
  <conditionalFormatting sqref="O288">
    <cfRule type="expression" dxfId="763" priority="260">
      <formula>AND(COUNT(K288:XEM288)&lt;&gt;0,(O288)="")</formula>
    </cfRule>
  </conditionalFormatting>
  <conditionalFormatting sqref="O288">
    <cfRule type="expression" dxfId="762" priority="259">
      <formula>AND($AK288&lt;&gt;"",ISBLANK($E288:$AG288))</formula>
    </cfRule>
  </conditionalFormatting>
  <conditionalFormatting sqref="C288:K289">
    <cfRule type="containsBlanks" dxfId="761" priority="258">
      <formula>LEN(TRIM(C288))=0</formula>
    </cfRule>
  </conditionalFormatting>
  <conditionalFormatting sqref="L288:L289">
    <cfRule type="containsBlanks" dxfId="760" priority="255">
      <formula>LEN(TRIM(L288))=0</formula>
    </cfRule>
  </conditionalFormatting>
  <conditionalFormatting sqref="M288:M289">
    <cfRule type="containsBlanks" dxfId="759" priority="251">
      <formula>LEN(TRIM(M288))=0</formula>
    </cfRule>
  </conditionalFormatting>
  <conditionalFormatting sqref="N288:N289">
    <cfRule type="containsBlanks" dxfId="758" priority="247">
      <formula>LEN(TRIM(N288))=0</formula>
    </cfRule>
  </conditionalFormatting>
  <conditionalFormatting sqref="C286:N287 C282:N282">
    <cfRule type="containsBlanks" dxfId="757" priority="245">
      <formula>LEN(TRIM(C282))=0</formula>
    </cfRule>
  </conditionalFormatting>
  <conditionalFormatting sqref="O287">
    <cfRule type="expression" dxfId="756" priority="242">
      <formula>AND(COUNT(K287:XEM287)&lt;&gt;0,(O287)="")</formula>
    </cfRule>
  </conditionalFormatting>
  <conditionalFormatting sqref="O287">
    <cfRule type="expression" dxfId="755" priority="241">
      <formula>AND($AK287&lt;&gt;"",ISBLANK($E287:$AG287))</formula>
    </cfRule>
  </conditionalFormatting>
  <conditionalFormatting sqref="O293">
    <cfRule type="expression" dxfId="754" priority="239">
      <formula>AND(COUNT(K293:XEM293)&lt;&gt;0,(O293)="")</formula>
    </cfRule>
  </conditionalFormatting>
  <conditionalFormatting sqref="O293">
    <cfRule type="expression" dxfId="753" priority="238">
      <formula>AND($AK293&lt;&gt;"",ISBLANK($E293:$AG293))</formula>
    </cfRule>
  </conditionalFormatting>
  <conditionalFormatting sqref="C293:K293 C296:K296">
    <cfRule type="containsBlanks" dxfId="752" priority="237">
      <formula>LEN(TRIM(C293))=0</formula>
    </cfRule>
  </conditionalFormatting>
  <conditionalFormatting sqref="C301:K301">
    <cfRule type="containsBlanks" dxfId="751" priority="236">
      <formula>LEN(TRIM(C301))=0</formula>
    </cfRule>
  </conditionalFormatting>
  <conditionalFormatting sqref="C297:K297">
    <cfRule type="containsBlanks" dxfId="750" priority="233">
      <formula>LEN(TRIM(C297))=0</formula>
    </cfRule>
  </conditionalFormatting>
  <conditionalFormatting sqref="L293 L296">
    <cfRule type="containsBlanks" dxfId="749" priority="226">
      <formula>LEN(TRIM(L293))=0</formula>
    </cfRule>
  </conditionalFormatting>
  <conditionalFormatting sqref="L301">
    <cfRule type="containsBlanks" dxfId="748" priority="225">
      <formula>LEN(TRIM(L301))=0</formula>
    </cfRule>
  </conditionalFormatting>
  <conditionalFormatting sqref="L297">
    <cfRule type="containsBlanks" dxfId="747" priority="223">
      <formula>LEN(TRIM(L297))=0</formula>
    </cfRule>
  </conditionalFormatting>
  <conditionalFormatting sqref="M293 M296">
    <cfRule type="containsBlanks" dxfId="746" priority="217">
      <formula>LEN(TRIM(M293))=0</formula>
    </cfRule>
  </conditionalFormatting>
  <conditionalFormatting sqref="M301">
    <cfRule type="containsBlanks" dxfId="745" priority="216">
      <formula>LEN(TRIM(M301))=0</formula>
    </cfRule>
  </conditionalFormatting>
  <conditionalFormatting sqref="M297">
    <cfRule type="containsBlanks" dxfId="744" priority="214">
      <formula>LEN(TRIM(M297))=0</formula>
    </cfRule>
  </conditionalFormatting>
  <conditionalFormatting sqref="N293 N296">
    <cfRule type="containsBlanks" dxfId="743" priority="207">
      <formula>LEN(TRIM(N293))=0</formula>
    </cfRule>
  </conditionalFormatting>
  <conditionalFormatting sqref="N297">
    <cfRule type="containsBlanks" dxfId="742" priority="206">
      <formula>LEN(TRIM(N297))=0</formula>
    </cfRule>
  </conditionalFormatting>
  <conditionalFormatting sqref="N294:N295">
    <cfRule type="containsBlanks" dxfId="741" priority="205">
      <formula>LEN(TRIM(N294))=0</formula>
    </cfRule>
  </conditionalFormatting>
  <conditionalFormatting sqref="N301">
    <cfRule type="containsBlanks" dxfId="740" priority="203">
      <formula>LEN(TRIM(N301))=0</formula>
    </cfRule>
  </conditionalFormatting>
  <conditionalFormatting sqref="N310">
    <cfRule type="containsBlanks" dxfId="739" priority="200">
      <formula>LEN(TRIM(N310))=0</formula>
    </cfRule>
  </conditionalFormatting>
  <conditionalFormatting sqref="C294:M295">
    <cfRule type="containsBlanks" dxfId="738" priority="198">
      <formula>LEN(TRIM(C294))=0</formula>
    </cfRule>
  </conditionalFormatting>
  <conditionalFormatting sqref="O294:O311">
    <cfRule type="expression" dxfId="737" priority="197">
      <formula>AND(COUNT(K294:XEM294)&lt;&gt;0,(O294)="")</formula>
    </cfRule>
  </conditionalFormatting>
  <conditionalFormatting sqref="O294:O311">
    <cfRule type="expression" dxfId="736" priority="196">
      <formula>AND($AK294&lt;&gt;"",ISBLANK($E294:$AG294))</formula>
    </cfRule>
  </conditionalFormatting>
  <conditionalFormatting sqref="C302:M303 C304:N304">
    <cfRule type="containsBlanks" dxfId="735" priority="195">
      <formula>LEN(TRIM(C302))=0</formula>
    </cfRule>
  </conditionalFormatting>
  <conditionalFormatting sqref="C308:M311 N311">
    <cfRule type="containsBlanks" dxfId="734" priority="194">
      <formula>LEN(TRIM(C308))=0</formula>
    </cfRule>
  </conditionalFormatting>
  <conditionalFormatting sqref="C317:N317">
    <cfRule type="containsBlanks" dxfId="733" priority="174">
      <formula>LEN(TRIM(C317))=0</formula>
    </cfRule>
  </conditionalFormatting>
  <conditionalFormatting sqref="C323:N323">
    <cfRule type="containsBlanks" dxfId="732" priority="173">
      <formula>LEN(TRIM(C323))=0</formula>
    </cfRule>
  </conditionalFormatting>
  <conditionalFormatting sqref="C324:N324">
    <cfRule type="containsBlanks" dxfId="731" priority="172">
      <formula>LEN(TRIM(C324))=0</formula>
    </cfRule>
  </conditionalFormatting>
  <conditionalFormatting sqref="C325:N325">
    <cfRule type="containsBlanks" dxfId="730" priority="171">
      <formula>LEN(TRIM(C325))=0</formula>
    </cfRule>
  </conditionalFormatting>
  <conditionalFormatting sqref="C326:N326">
    <cfRule type="containsBlanks" dxfId="729" priority="170">
      <formula>LEN(TRIM(C326))=0</formula>
    </cfRule>
  </conditionalFormatting>
  <conditionalFormatting sqref="C328:N328">
    <cfRule type="containsBlanks" dxfId="728" priority="168">
      <formula>LEN(TRIM(C328))=0</formula>
    </cfRule>
  </conditionalFormatting>
  <conditionalFormatting sqref="C331:N331">
    <cfRule type="containsBlanks" dxfId="727" priority="167">
      <formula>LEN(TRIM(C331))=0</formula>
    </cfRule>
  </conditionalFormatting>
  <conditionalFormatting sqref="C332:N332">
    <cfRule type="containsBlanks" dxfId="726" priority="166">
      <formula>LEN(TRIM(C332))=0</formula>
    </cfRule>
  </conditionalFormatting>
  <conditionalFormatting sqref="C333:N333">
    <cfRule type="containsBlanks" dxfId="725" priority="165">
      <formula>LEN(TRIM(C333))=0</formula>
    </cfRule>
  </conditionalFormatting>
  <conditionalFormatting sqref="C335:N335">
    <cfRule type="containsBlanks" dxfId="724" priority="163">
      <formula>LEN(TRIM(C335))=0</formula>
    </cfRule>
  </conditionalFormatting>
  <conditionalFormatting sqref="C318:N318">
    <cfRule type="containsBlanks" dxfId="723" priority="150">
      <formula>LEN(TRIM(C318))=0</formula>
    </cfRule>
  </conditionalFormatting>
  <conditionalFormatting sqref="N188:N190">
    <cfRule type="containsBlanks" dxfId="722" priority="145">
      <formula>LEN(TRIM(N188))=0</formula>
    </cfRule>
  </conditionalFormatting>
  <conditionalFormatting sqref="N191">
    <cfRule type="containsBlanks" dxfId="721" priority="144">
      <formula>LEN(TRIM(N191))=0</formula>
    </cfRule>
  </conditionalFormatting>
  <conditionalFormatting sqref="N203:N208">
    <cfRule type="containsBlanks" dxfId="720" priority="105">
      <formula>LEN(TRIM(N203))=0</formula>
    </cfRule>
  </conditionalFormatting>
  <conditionalFormatting sqref="C183:N183">
    <cfRule type="containsBlanks" dxfId="719" priority="119">
      <formula>LEN(TRIM(C183))=0</formula>
    </cfRule>
  </conditionalFormatting>
  <conditionalFormatting sqref="N196:N198">
    <cfRule type="containsBlanks" dxfId="718" priority="115">
      <formula>LEN(TRIM(N196))=0</formula>
    </cfRule>
  </conditionalFormatting>
  <conditionalFormatting sqref="O196:O198">
    <cfRule type="expression" dxfId="717" priority="114">
      <formula>AND(COUNT(K196:XEM196)&lt;&gt;0,(O196)="")</formula>
    </cfRule>
  </conditionalFormatting>
  <conditionalFormatting sqref="O196:O198">
    <cfRule type="expression" dxfId="716" priority="113">
      <formula>AND($AK196&lt;&gt;"",ISBLANK($E196:$AG196))</formula>
    </cfRule>
  </conditionalFormatting>
  <conditionalFormatting sqref="O203:O208">
    <cfRule type="expression" dxfId="715" priority="112">
      <formula>AND(COUNT(K203:XEM203)&lt;&gt;0,(O203)="")</formula>
    </cfRule>
  </conditionalFormatting>
  <conditionalFormatting sqref="O203:O208">
    <cfRule type="expression" dxfId="714" priority="111">
      <formula>AND($AK203&lt;&gt;"",ISBLANK($E203:$AG203))</formula>
    </cfRule>
  </conditionalFormatting>
  <conditionalFormatting sqref="C285:N285">
    <cfRule type="containsBlanks" dxfId="713" priority="83">
      <formula>LEN(TRIM(C285))=0</formula>
    </cfRule>
  </conditionalFormatting>
  <conditionalFormatting sqref="C327:N327">
    <cfRule type="containsBlanks" dxfId="712" priority="70">
      <formula>LEN(TRIM(C327))=0</formula>
    </cfRule>
  </conditionalFormatting>
  <conditionalFormatting sqref="C338:N338">
    <cfRule type="containsBlanks" dxfId="711" priority="59">
      <formula>LEN(TRIM(C338))=0</formula>
    </cfRule>
  </conditionalFormatting>
  <conditionalFormatting sqref="C339:N340">
    <cfRule type="containsBlanks" dxfId="710" priority="58">
      <formula>LEN(TRIM(C339))=0</formula>
    </cfRule>
  </conditionalFormatting>
  <conditionalFormatting sqref="N164">
    <cfRule type="containsBlanks" dxfId="709" priority="46">
      <formula>LEN(TRIM(N164))=0</formula>
    </cfRule>
  </conditionalFormatting>
  <conditionalFormatting sqref="M144:N144">
    <cfRule type="containsBlanks" dxfId="708" priority="48">
      <formula>LEN(TRIM(M144))=0</formula>
    </cfRule>
  </conditionalFormatting>
  <conditionalFormatting sqref="C222:N222">
    <cfRule type="containsBlanks" dxfId="707" priority="38">
      <formula>LEN(TRIM(C222))=0</formula>
    </cfRule>
  </conditionalFormatting>
  <conditionalFormatting sqref="C212:M215">
    <cfRule type="containsBlanks" dxfId="706" priority="41">
      <formula>LEN(TRIM(C212))=0</formula>
    </cfRule>
  </conditionalFormatting>
  <conditionalFormatting sqref="O212">
    <cfRule type="expression" dxfId="705" priority="40">
      <formula>AND(COUNT(K212:XEM212)&lt;&gt;0,(O212)="")</formula>
    </cfRule>
  </conditionalFormatting>
  <conditionalFormatting sqref="O212">
    <cfRule type="expression" dxfId="704" priority="39">
      <formula>AND($AK212&lt;&gt;"",ISBLANK($E212:$AG212))</formula>
    </cfRule>
  </conditionalFormatting>
  <conditionalFormatting sqref="O213:O215">
    <cfRule type="expression" dxfId="703" priority="37">
      <formula>AND(COUNT(K213:XEM213)&lt;&gt;0,(O213)="")</formula>
    </cfRule>
  </conditionalFormatting>
  <conditionalFormatting sqref="O213:O215">
    <cfRule type="expression" dxfId="702" priority="36">
      <formula>AND($AK213&lt;&gt;"",ISBLANK($E213:$AG213))</formula>
    </cfRule>
  </conditionalFormatting>
  <conditionalFormatting sqref="C226:N227">
    <cfRule type="containsBlanks" dxfId="701" priority="35">
      <formula>LEN(TRIM(C226))=0</formula>
    </cfRule>
  </conditionalFormatting>
  <conditionalFormatting sqref="C230:M230">
    <cfRule type="containsBlanks" dxfId="700" priority="33">
      <formula>LEN(TRIM(C230))=0</formula>
    </cfRule>
  </conditionalFormatting>
  <conditionalFormatting sqref="O230">
    <cfRule type="expression" dxfId="699" priority="31">
      <formula>AND($AK230&lt;&gt;"",ISBLANK($E230:$AG230))</formula>
    </cfRule>
  </conditionalFormatting>
  <conditionalFormatting sqref="O230">
    <cfRule type="expression" dxfId="698" priority="32">
      <formula>AND(COUNT(K230:XEM230)&lt;&gt;0,(O230)="")</formula>
    </cfRule>
  </conditionalFormatting>
  <conditionalFormatting sqref="C239:N239">
    <cfRule type="containsBlanks" dxfId="697" priority="24">
      <formula>LEN(TRIM(C239))=0</formula>
    </cfRule>
  </conditionalFormatting>
  <conditionalFormatting sqref="C233:M234">
    <cfRule type="containsBlanks" dxfId="696" priority="29">
      <formula>LEN(TRIM(C233))=0</formula>
    </cfRule>
  </conditionalFormatting>
  <conditionalFormatting sqref="O233">
    <cfRule type="expression" dxfId="695" priority="27">
      <formula>AND($AK233&lt;&gt;"",ISBLANK($E233:$AG233))</formula>
    </cfRule>
  </conditionalFormatting>
  <conditionalFormatting sqref="O233">
    <cfRule type="expression" dxfId="694" priority="28">
      <formula>AND(COUNT(K233:XEM233)&lt;&gt;0,(O233)="")</formula>
    </cfRule>
  </conditionalFormatting>
  <conditionalFormatting sqref="O234">
    <cfRule type="expression" dxfId="693" priority="25">
      <formula>AND($AK234&lt;&gt;"",ISBLANK($E234:$AG234))</formula>
    </cfRule>
  </conditionalFormatting>
  <conditionalFormatting sqref="O234">
    <cfRule type="expression" dxfId="692" priority="26">
      <formula>AND(COUNT(K234:XEM234)&lt;&gt;0,(O234)="")</formula>
    </cfRule>
  </conditionalFormatting>
  <conditionalFormatting sqref="C249:M249">
    <cfRule type="containsBlanks" dxfId="691" priority="17">
      <formula>LEN(TRIM(C249))=0</formula>
    </cfRule>
  </conditionalFormatting>
  <conditionalFormatting sqref="C243:M244">
    <cfRule type="containsBlanks" dxfId="690" priority="22">
      <formula>LEN(TRIM(C243))=0</formula>
    </cfRule>
  </conditionalFormatting>
  <conditionalFormatting sqref="O243">
    <cfRule type="expression" dxfId="689" priority="20">
      <formula>AND($AK243&lt;&gt;"",ISBLANK($E243:$AG243))</formula>
    </cfRule>
  </conditionalFormatting>
  <conditionalFormatting sqref="O243">
    <cfRule type="expression" dxfId="688" priority="21">
      <formula>AND(COUNT(K243:XEM243)&lt;&gt;0,(O243)="")</formula>
    </cfRule>
  </conditionalFormatting>
  <conditionalFormatting sqref="O244">
    <cfRule type="expression" dxfId="687" priority="18">
      <formula>AND($AK244&lt;&gt;"",ISBLANK($E244:$AG244))</formula>
    </cfRule>
  </conditionalFormatting>
  <conditionalFormatting sqref="O244">
    <cfRule type="expression" dxfId="686" priority="19">
      <formula>AND(COUNT(K244:XEM244)&lt;&gt;0,(O244)="")</formula>
    </cfRule>
  </conditionalFormatting>
  <conditionalFormatting sqref="C259:M259">
    <cfRule type="containsBlanks" dxfId="685" priority="10">
      <formula>LEN(TRIM(C259))=0</formula>
    </cfRule>
  </conditionalFormatting>
  <conditionalFormatting sqref="C253:M254">
    <cfRule type="containsBlanks" dxfId="684" priority="15">
      <formula>LEN(TRIM(C253))=0</formula>
    </cfRule>
  </conditionalFormatting>
  <conditionalFormatting sqref="O253">
    <cfRule type="expression" dxfId="683" priority="13">
      <formula>AND($AK253&lt;&gt;"",ISBLANK($E253:$AG253))</formula>
    </cfRule>
  </conditionalFormatting>
  <conditionalFormatting sqref="O253">
    <cfRule type="expression" dxfId="682" priority="14">
      <formula>AND(COUNT(K253:XEM253)&lt;&gt;0,(O253)="")</formula>
    </cfRule>
  </conditionalFormatting>
  <conditionalFormatting sqref="O254">
    <cfRule type="expression" dxfId="681" priority="11">
      <formula>AND($AK254&lt;&gt;"",ISBLANK($E254:$AG254))</formula>
    </cfRule>
  </conditionalFormatting>
  <conditionalFormatting sqref="O254">
    <cfRule type="expression" dxfId="680" priority="12">
      <formula>AND(COUNT(K254:XEM254)&lt;&gt;0,(O254)="")</formula>
    </cfRule>
  </conditionalFormatting>
  <conditionalFormatting sqref="O356">
    <cfRule type="expression" dxfId="679" priority="7">
      <formula>AND($AK356&lt;&gt;"",ISBLANK($E356:$AG356))</formula>
    </cfRule>
  </conditionalFormatting>
  <conditionalFormatting sqref="O356">
    <cfRule type="expression" dxfId="678" priority="8">
      <formula>AND(COUNT(K356:XEM356)&lt;&gt;0,(O356)="")</formula>
    </cfRule>
  </conditionalFormatting>
  <conditionalFormatting sqref="C334:N334">
    <cfRule type="containsBlanks" dxfId="677" priority="6">
      <formula>LEN(TRIM(C334))=0</formula>
    </cfRule>
  </conditionalFormatting>
  <conditionalFormatting sqref="O9">
    <cfRule type="expression" dxfId="676" priority="2906">
      <formula>AND(#REF!&lt;&gt;"",ISBLANK(#REF!))</formula>
    </cfRule>
  </conditionalFormatting>
  <conditionalFormatting sqref="O8:O11">
    <cfRule type="expression" dxfId="675" priority="2907">
      <formula>AND(COUNT(#REF!)&lt;&gt;0,(O8)="")</formula>
    </cfRule>
  </conditionalFormatting>
  <conditionalFormatting sqref="O8">
    <cfRule type="expression" dxfId="674" priority="2908">
      <formula>AND(#REF!&lt;&gt;"",ISBLANK(#REF!))</formula>
    </cfRule>
  </conditionalFormatting>
  <conditionalFormatting sqref="N267:N269">
    <cfRule type="containsBlanks" dxfId="673" priority="5">
      <formula>LEN(TRIM(N267))=0</formula>
    </cfRule>
  </conditionalFormatting>
  <conditionalFormatting sqref="N270">
    <cfRule type="containsBlanks" dxfId="672" priority="4">
      <formula>LEN(TRIM(N270))=0</formula>
    </cfRule>
  </conditionalFormatting>
  <conditionalFormatting sqref="N302:N303">
    <cfRule type="containsBlanks" dxfId="671" priority="3">
      <formula>LEN(TRIM(N302))=0</formula>
    </cfRule>
  </conditionalFormatting>
  <conditionalFormatting sqref="N308">
    <cfRule type="containsBlanks" dxfId="670" priority="2">
      <formula>LEN(TRIM(N308))=0</formula>
    </cfRule>
  </conditionalFormatting>
  <conditionalFormatting sqref="N309">
    <cfRule type="containsBlanks" dxfId="669" priority="1">
      <formula>LEN(TRIM(N309))=0</formula>
    </cfRule>
  </conditionalFormatting>
  <dataValidations disablePrompts="1" count="3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8:O11 O23:O29 O32:O38 O42:O43 O59:O65 O49:O55 O71:O77 O81:O87 O95:O98 O101:O103 O113:O115 O107:O110 O121:O124 O130:O137 O155:O159 O145:O152 O188:O191 O203:O208 O308:O311 O274 O282 O285:O288 O293:O297 O301:O304 O174:O183 C284:H286" xr:uid="{2E72C7D9-7199-4873-AC08-CC9B97321DA6}">
      <formula1>AND(LEN(C8)&lt;21,ISERROR(SEARCH("&amp;",C8))=TRUE,ISERROR(SEARCH(" ",C8))=TRUE,ISERROR(SEARCH("/",C8))=TRUE,ISERROR(SEARCH(";",C8))=TRUE,ISERROR(SEARCH("=",C8))=TRUE,ISERROR(SEARCH("'",C8))=TRUE)</formula1>
    </dataValidation>
    <dataValidation type="decimal" operator="greaterThanOrEqual" allowBlank="1" showInputMessage="1" showErrorMessage="1" error="The value must be positive" sqref="C8:N11 C14:E21 F14:N18" xr:uid="{B4943DBF-120A-480D-BF49-C0A43B91BC6A}">
      <formula1>0</formula1>
    </dataValidation>
    <dataValidation type="custom" allowBlank="1" showInputMessage="1" showErrorMessage="1" error="Invalid source name, please refer to the guidelines" sqref="O2:O3" xr:uid="{4A92CE23-AF4D-4515-AA0D-CE61E0EF938F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E90B-3896-4DE3-9E10-5BAE7C23864C}">
  <sheetPr>
    <tabColor rgb="FF7030A0"/>
  </sheetPr>
  <dimension ref="A2:Q368"/>
  <sheetViews>
    <sheetView zoomScaleNormal="100" workbookViewId="0">
      <pane xSplit="2" ySplit="2" topLeftCell="C364" activePane="bottomRight" state="frozen"/>
      <selection pane="topRight" activeCell="C1" sqref="C1"/>
      <selection pane="bottomLeft" activeCell="A3" sqref="A3"/>
      <selection pane="bottomRight" activeCell="A3" sqref="A3:N368"/>
    </sheetView>
  </sheetViews>
  <sheetFormatPr defaultColWidth="9.109375" defaultRowHeight="14.4" x14ac:dyDescent="0.3"/>
  <cols>
    <col min="1" max="1" width="54.44140625" customWidth="1"/>
    <col min="2" max="2" width="11.109375" customWidth="1"/>
    <col min="3" max="3" width="9.5546875" customWidth="1"/>
    <col min="4" max="4" width="9.44140625" customWidth="1"/>
    <col min="13" max="13" width="9.109375" bestFit="1" customWidth="1"/>
    <col min="15" max="15" width="11.88671875" customWidth="1"/>
    <col min="16" max="16" width="38" customWidth="1"/>
  </cols>
  <sheetData>
    <row r="2" spans="1:17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7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18" x14ac:dyDescent="0.3">
      <c r="A5" s="2" t="s">
        <v>645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5.6" x14ac:dyDescent="0.3">
      <c r="A7" s="8" t="s">
        <v>646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7" x14ac:dyDescent="0.3">
      <c r="A8" s="47" t="s">
        <v>647</v>
      </c>
      <c r="B8" s="195" t="s">
        <v>84</v>
      </c>
      <c r="C8" s="106">
        <f>C9+C10+C11</f>
        <v>552.70000000000005</v>
      </c>
      <c r="D8" s="106">
        <f t="shared" ref="D8:N8" si="0">D9+D10+D11</f>
        <v>574</v>
      </c>
      <c r="E8" s="106">
        <f t="shared" si="0"/>
        <v>602.1</v>
      </c>
      <c r="F8" s="106">
        <f t="shared" si="0"/>
        <v>628.5</v>
      </c>
      <c r="G8" s="106">
        <f t="shared" si="0"/>
        <v>653</v>
      </c>
      <c r="H8" s="106">
        <f t="shared" si="0"/>
        <v>676.6</v>
      </c>
      <c r="I8" s="106">
        <f t="shared" si="0"/>
        <v>703.1</v>
      </c>
      <c r="J8" s="106">
        <f t="shared" si="0"/>
        <v>725.9</v>
      </c>
      <c r="K8" s="106">
        <f t="shared" si="0"/>
        <v>746.5</v>
      </c>
      <c r="L8" s="106">
        <f t="shared" si="0"/>
        <v>794.9</v>
      </c>
      <c r="M8" s="106">
        <f t="shared" si="0"/>
        <v>808.7</v>
      </c>
      <c r="N8" s="106">
        <f t="shared" si="0"/>
        <v>825.90000000000009</v>
      </c>
      <c r="O8" s="18" t="s">
        <v>648</v>
      </c>
      <c r="P8" s="12" t="s">
        <v>932</v>
      </c>
    </row>
    <row r="9" spans="1:17" x14ac:dyDescent="0.3">
      <c r="A9" s="49" t="s">
        <v>650</v>
      </c>
      <c r="B9" s="196" t="s">
        <v>84</v>
      </c>
      <c r="C9" s="44">
        <v>37</v>
      </c>
      <c r="D9" s="44">
        <v>37.5</v>
      </c>
      <c r="E9" s="44">
        <v>38.799999999999997</v>
      </c>
      <c r="F9" s="44">
        <v>40.200000000000003</v>
      </c>
      <c r="G9" s="44">
        <v>43</v>
      </c>
      <c r="H9" s="44">
        <v>45.9</v>
      </c>
      <c r="I9" s="44">
        <v>49.6</v>
      </c>
      <c r="J9" s="44">
        <v>53</v>
      </c>
      <c r="K9" s="44">
        <v>56</v>
      </c>
      <c r="L9" s="44">
        <v>60.9</v>
      </c>
      <c r="M9" s="44">
        <v>63.3</v>
      </c>
      <c r="N9" s="44">
        <v>66.7</v>
      </c>
      <c r="O9" s="18" t="s">
        <v>15</v>
      </c>
      <c r="P9" s="12" t="s">
        <v>933</v>
      </c>
    </row>
    <row r="10" spans="1:17" x14ac:dyDescent="0.3">
      <c r="A10" s="49" t="s">
        <v>651</v>
      </c>
      <c r="B10" s="22" t="s">
        <v>84</v>
      </c>
      <c r="C10" s="44">
        <v>380</v>
      </c>
      <c r="D10" s="44">
        <v>391</v>
      </c>
      <c r="E10" s="44">
        <v>405.8</v>
      </c>
      <c r="F10" s="44">
        <v>419.1</v>
      </c>
      <c r="G10" s="44">
        <v>430.3</v>
      </c>
      <c r="H10" s="44">
        <v>442.3</v>
      </c>
      <c r="I10" s="44">
        <v>456</v>
      </c>
      <c r="J10" s="44">
        <v>467.3</v>
      </c>
      <c r="K10" s="44">
        <v>477.1</v>
      </c>
      <c r="L10" s="44">
        <v>505.9</v>
      </c>
      <c r="M10" s="44">
        <v>512.1</v>
      </c>
      <c r="N10" s="44">
        <v>519.1</v>
      </c>
      <c r="O10" s="18" t="s">
        <v>15</v>
      </c>
      <c r="P10" s="12" t="s">
        <v>933</v>
      </c>
      <c r="Q10" s="12" t="s">
        <v>933</v>
      </c>
    </row>
    <row r="11" spans="1:17" x14ac:dyDescent="0.3">
      <c r="A11" s="49" t="s">
        <v>652</v>
      </c>
      <c r="B11" s="22" t="s">
        <v>84</v>
      </c>
      <c r="C11" s="44">
        <v>135.69999999999999</v>
      </c>
      <c r="D11" s="44">
        <v>145.5</v>
      </c>
      <c r="E11" s="44">
        <v>157.5</v>
      </c>
      <c r="F11" s="44">
        <v>169.2</v>
      </c>
      <c r="G11" s="44">
        <v>179.7</v>
      </c>
      <c r="H11" s="44">
        <v>188.4</v>
      </c>
      <c r="I11" s="44">
        <v>197.5</v>
      </c>
      <c r="J11" s="44">
        <v>205.6</v>
      </c>
      <c r="K11" s="44">
        <v>213.4</v>
      </c>
      <c r="L11" s="44">
        <v>228.1</v>
      </c>
      <c r="M11" s="44">
        <v>233.3</v>
      </c>
      <c r="N11" s="44">
        <v>240.1</v>
      </c>
      <c r="O11" s="18" t="s">
        <v>15</v>
      </c>
      <c r="P11" s="12" t="s">
        <v>933</v>
      </c>
    </row>
    <row r="12" spans="1:17" ht="15.6" x14ac:dyDescent="0.3">
      <c r="A12" s="131" t="s">
        <v>102</v>
      </c>
      <c r="B12" s="99" t="s">
        <v>103</v>
      </c>
      <c r="C12" s="87">
        <f>IFERROR(SUM(C9:C11)/C8,"")</f>
        <v>1</v>
      </c>
      <c r="D12" s="87">
        <f t="shared" ref="D12:N12" si="1">IFERROR(SUM(D9:D11)/D8,"")</f>
        <v>1</v>
      </c>
      <c r="E12" s="87">
        <f t="shared" si="1"/>
        <v>1</v>
      </c>
      <c r="F12" s="87">
        <f t="shared" si="1"/>
        <v>1</v>
      </c>
      <c r="G12" s="87">
        <f t="shared" si="1"/>
        <v>1</v>
      </c>
      <c r="H12" s="87">
        <f t="shared" si="1"/>
        <v>1</v>
      </c>
      <c r="I12" s="87">
        <f t="shared" si="1"/>
        <v>1</v>
      </c>
      <c r="J12" s="87">
        <f t="shared" si="1"/>
        <v>1</v>
      </c>
      <c r="K12" s="87">
        <f t="shared" si="1"/>
        <v>1</v>
      </c>
      <c r="L12" s="87">
        <f t="shared" si="1"/>
        <v>1</v>
      </c>
      <c r="M12" s="87">
        <f t="shared" si="1"/>
        <v>1</v>
      </c>
      <c r="N12" s="87">
        <f t="shared" si="1"/>
        <v>1</v>
      </c>
      <c r="O12" s="78"/>
      <c r="P12" s="78"/>
    </row>
    <row r="13" spans="1:17" ht="15.6" x14ac:dyDescent="0.3">
      <c r="A13" s="78"/>
      <c r="B13" s="4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7" x14ac:dyDescent="0.3">
      <c r="A14" s="49" t="s">
        <v>934</v>
      </c>
      <c r="B14" s="22" t="s">
        <v>84</v>
      </c>
      <c r="C14" s="44">
        <v>415.57799999999997</v>
      </c>
      <c r="D14" s="44">
        <v>420</v>
      </c>
      <c r="E14" s="44">
        <v>424.3</v>
      </c>
      <c r="F14" s="44">
        <v>426.4</v>
      </c>
      <c r="G14" s="44">
        <v>429</v>
      </c>
      <c r="H14" s="44">
        <v>434.1</v>
      </c>
      <c r="I14" s="44">
        <v>443.1</v>
      </c>
      <c r="J14" s="44">
        <v>449.3</v>
      </c>
      <c r="K14" s="44">
        <v>453</v>
      </c>
      <c r="L14" s="44">
        <v>477.2</v>
      </c>
      <c r="M14" s="44">
        <v>478.1</v>
      </c>
      <c r="N14" s="44">
        <v>480.3</v>
      </c>
      <c r="O14" s="18" t="s">
        <v>15</v>
      </c>
      <c r="P14" s="12" t="s">
        <v>933</v>
      </c>
    </row>
    <row r="15" spans="1:17" x14ac:dyDescent="0.3">
      <c r="A15" s="49" t="s">
        <v>654</v>
      </c>
      <c r="B15" s="22" t="s">
        <v>84</v>
      </c>
      <c r="C15" s="44">
        <v>137.08199999999999</v>
      </c>
      <c r="D15" s="44">
        <v>154</v>
      </c>
      <c r="E15" s="44">
        <v>177.2</v>
      </c>
      <c r="F15" s="44">
        <v>201.3</v>
      </c>
      <c r="G15" s="44">
        <v>222.7</v>
      </c>
      <c r="H15" s="44">
        <v>241</v>
      </c>
      <c r="I15" s="44">
        <v>258.39999999999998</v>
      </c>
      <c r="J15" s="44">
        <v>274.8</v>
      </c>
      <c r="K15" s="44">
        <v>291.60000000000002</v>
      </c>
      <c r="L15" s="44">
        <v>315</v>
      </c>
      <c r="M15" s="44">
        <v>326.7</v>
      </c>
      <c r="N15" s="44">
        <v>340.6</v>
      </c>
      <c r="O15" s="18" t="s">
        <v>15</v>
      </c>
      <c r="P15" s="12" t="s">
        <v>933</v>
      </c>
    </row>
    <row r="16" spans="1:17" x14ac:dyDescent="0.3">
      <c r="A16" s="49" t="s">
        <v>655</v>
      </c>
      <c r="B16" s="22" t="s">
        <v>84</v>
      </c>
      <c r="C16" s="44">
        <v>1.9E-2</v>
      </c>
      <c r="D16" s="44">
        <v>0</v>
      </c>
      <c r="E16" s="44">
        <v>0</v>
      </c>
      <c r="F16" s="44">
        <v>0.1</v>
      </c>
      <c r="G16" s="44">
        <v>0.23</v>
      </c>
      <c r="H16" s="44">
        <v>0.4</v>
      </c>
      <c r="I16" s="44">
        <v>0.4</v>
      </c>
      <c r="J16" s="44">
        <v>0.6</v>
      </c>
      <c r="K16" s="44">
        <v>0.6</v>
      </c>
      <c r="L16" s="44">
        <v>1.3</v>
      </c>
      <c r="M16" s="44">
        <v>2.1</v>
      </c>
      <c r="N16" s="44">
        <v>2.6</v>
      </c>
      <c r="O16" s="18" t="s">
        <v>15</v>
      </c>
      <c r="P16" s="12" t="s">
        <v>933</v>
      </c>
    </row>
    <row r="17" spans="1:16" x14ac:dyDescent="0.3">
      <c r="A17" s="49" t="s">
        <v>656</v>
      </c>
      <c r="B17" s="22" t="s">
        <v>84</v>
      </c>
      <c r="C17" s="101"/>
      <c r="D17" s="101"/>
      <c r="E17" s="101"/>
      <c r="F17" s="101"/>
      <c r="G17" s="101"/>
      <c r="H17" s="101"/>
      <c r="I17" s="101"/>
      <c r="J17" s="104"/>
      <c r="K17" s="104"/>
      <c r="L17" s="104"/>
      <c r="M17" s="104"/>
      <c r="N17" s="104"/>
      <c r="O17" s="18"/>
      <c r="P17" s="12"/>
    </row>
    <row r="18" spans="1:16" x14ac:dyDescent="0.3">
      <c r="A18" s="49" t="s">
        <v>657</v>
      </c>
      <c r="B18" s="22" t="s">
        <v>84</v>
      </c>
      <c r="C18" s="44">
        <v>5.0000000000000001E-3</v>
      </c>
      <c r="D18" s="44">
        <v>0</v>
      </c>
      <c r="E18" s="44">
        <v>0.6</v>
      </c>
      <c r="F18" s="44">
        <v>0.7</v>
      </c>
      <c r="G18" s="44">
        <v>1.07</v>
      </c>
      <c r="H18" s="44">
        <v>1.1000000000000001</v>
      </c>
      <c r="I18" s="44">
        <v>1.2</v>
      </c>
      <c r="J18" s="44">
        <v>1.2</v>
      </c>
      <c r="K18" s="44">
        <v>1.3</v>
      </c>
      <c r="L18" s="44">
        <v>1.3836646761106499</v>
      </c>
      <c r="M18" s="44">
        <v>1.8</v>
      </c>
      <c r="N18" s="44">
        <v>2.4</v>
      </c>
      <c r="O18" s="18" t="s">
        <v>15</v>
      </c>
      <c r="P18" s="12" t="s">
        <v>933</v>
      </c>
    </row>
    <row r="19" spans="1:16" x14ac:dyDescent="0.3">
      <c r="A19" s="49" t="s">
        <v>658</v>
      </c>
      <c r="B19" s="22" t="s">
        <v>84</v>
      </c>
      <c r="C19" s="44">
        <v>0</v>
      </c>
      <c r="D19" s="44">
        <v>0</v>
      </c>
      <c r="E19" s="44">
        <v>0</v>
      </c>
      <c r="F19" s="44">
        <v>0.2</v>
      </c>
      <c r="G19" s="44">
        <v>0.3</v>
      </c>
      <c r="H19" s="44">
        <v>0.4</v>
      </c>
      <c r="I19" s="44">
        <v>0.8</v>
      </c>
      <c r="J19" s="44">
        <v>1.2</v>
      </c>
      <c r="K19" s="44">
        <v>1.6</v>
      </c>
      <c r="L19" s="44">
        <v>2.7</v>
      </c>
      <c r="M19" s="44">
        <v>2.8</v>
      </c>
      <c r="N19" s="44">
        <v>6.6</v>
      </c>
      <c r="O19" s="18" t="s">
        <v>15</v>
      </c>
      <c r="P19" s="12" t="s">
        <v>933</v>
      </c>
    </row>
    <row r="20" spans="1:16" ht="15.6" x14ac:dyDescent="0.3">
      <c r="A20" s="131" t="s">
        <v>102</v>
      </c>
      <c r="B20" s="99" t="s">
        <v>103</v>
      </c>
      <c r="C20" s="87">
        <f t="shared" ref="C20:N20" si="2">IFERROR(SUM(C14:C19)/C8,"")</f>
        <v>0.99997105120318419</v>
      </c>
      <c r="D20" s="87">
        <f t="shared" si="2"/>
        <v>1</v>
      </c>
      <c r="E20" s="87">
        <f t="shared" si="2"/>
        <v>1</v>
      </c>
      <c r="F20" s="87">
        <f t="shared" si="2"/>
        <v>1.0003182179793162</v>
      </c>
      <c r="G20" s="87">
        <f t="shared" si="2"/>
        <v>1.0004594180704443</v>
      </c>
      <c r="H20" s="87">
        <f t="shared" si="2"/>
        <v>1.0005911912503695</v>
      </c>
      <c r="I20" s="87">
        <f t="shared" si="2"/>
        <v>1.0011378182335371</v>
      </c>
      <c r="J20" s="87">
        <f t="shared" si="2"/>
        <v>1.0016531202644994</v>
      </c>
      <c r="K20" s="87">
        <f t="shared" si="2"/>
        <v>1.0021433355659746</v>
      </c>
      <c r="L20" s="87">
        <f t="shared" si="2"/>
        <v>1.0033761035049826</v>
      </c>
      <c r="M20" s="87">
        <f t="shared" si="2"/>
        <v>1.0034623469766291</v>
      </c>
      <c r="N20" s="87">
        <f t="shared" si="2"/>
        <v>1.007991282237559</v>
      </c>
      <c r="O20" s="78"/>
      <c r="P20" s="78"/>
    </row>
    <row r="21" spans="1:16" ht="15.6" x14ac:dyDescent="0.3">
      <c r="A21" s="49"/>
      <c r="B21" s="9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15.6" x14ac:dyDescent="0.3">
      <c r="A22" s="47" t="s">
        <v>659</v>
      </c>
      <c r="B22" s="132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x14ac:dyDescent="0.3">
      <c r="A23" s="47" t="s">
        <v>660</v>
      </c>
      <c r="B23" s="195" t="s">
        <v>84</v>
      </c>
      <c r="C23" s="106">
        <v>10.294</v>
      </c>
      <c r="D23" s="106">
        <v>17</v>
      </c>
      <c r="E23" s="106">
        <v>19.399999999999999</v>
      </c>
      <c r="F23" s="106">
        <v>19.7</v>
      </c>
      <c r="G23" s="106">
        <v>21.1</v>
      </c>
      <c r="H23" s="106">
        <v>21.064</v>
      </c>
      <c r="I23" s="106">
        <v>23</v>
      </c>
      <c r="J23" s="106">
        <v>25.623000000000001</v>
      </c>
      <c r="K23" s="106">
        <v>26.3</v>
      </c>
      <c r="L23" s="106">
        <v>27.584</v>
      </c>
      <c r="M23" s="106">
        <v>19.3</v>
      </c>
      <c r="N23" s="106">
        <v>22.6</v>
      </c>
      <c r="O23" s="18" t="s">
        <v>15</v>
      </c>
      <c r="P23" s="12" t="s">
        <v>933</v>
      </c>
    </row>
    <row r="24" spans="1:16" ht="15.6" x14ac:dyDescent="0.3">
      <c r="A24" s="49" t="s">
        <v>661</v>
      </c>
      <c r="B24" s="22" t="s">
        <v>103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8"/>
      <c r="P24" s="78"/>
    </row>
    <row r="25" spans="1:16" ht="15.6" x14ac:dyDescent="0.3">
      <c r="A25" s="49" t="s">
        <v>662</v>
      </c>
      <c r="B25" s="22" t="s">
        <v>103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8"/>
      <c r="P25" s="78"/>
    </row>
    <row r="26" spans="1:16" ht="15.6" x14ac:dyDescent="0.3">
      <c r="A26" s="49" t="s">
        <v>663</v>
      </c>
      <c r="B26" s="22" t="s">
        <v>103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78"/>
      <c r="P26" s="78"/>
    </row>
    <row r="27" spans="1:16" x14ac:dyDescent="0.3">
      <c r="A27" s="49" t="s">
        <v>664</v>
      </c>
      <c r="B27" s="22" t="s">
        <v>84</v>
      </c>
      <c r="C27" s="44">
        <v>0.9</v>
      </c>
      <c r="D27" s="44">
        <v>1.8</v>
      </c>
      <c r="E27" s="44">
        <v>2.5</v>
      </c>
      <c r="F27" s="44">
        <v>2.2999999999999998</v>
      </c>
      <c r="G27" s="44">
        <v>3.8</v>
      </c>
      <c r="H27" s="44">
        <v>4.2</v>
      </c>
      <c r="I27" s="44">
        <v>4.9000000000000004</v>
      </c>
      <c r="J27" s="44">
        <v>3.5298250447720076</v>
      </c>
      <c r="K27" s="44">
        <v>3.523107836570663</v>
      </c>
      <c r="L27" s="44">
        <v>6.2</v>
      </c>
      <c r="M27" s="44">
        <v>4.5</v>
      </c>
      <c r="N27" s="44">
        <v>5.4</v>
      </c>
      <c r="O27" s="18" t="s">
        <v>15</v>
      </c>
      <c r="P27" s="12" t="s">
        <v>933</v>
      </c>
    </row>
    <row r="28" spans="1:16" x14ac:dyDescent="0.3">
      <c r="A28" s="49" t="s">
        <v>665</v>
      </c>
      <c r="B28" s="22" t="s">
        <v>84</v>
      </c>
      <c r="C28" s="44">
        <v>8</v>
      </c>
      <c r="D28" s="44">
        <v>12.8</v>
      </c>
      <c r="E28" s="44">
        <v>14.3</v>
      </c>
      <c r="F28" s="44">
        <v>14.999999999999998</v>
      </c>
      <c r="G28" s="44">
        <v>14.5</v>
      </c>
      <c r="H28" s="44">
        <v>14.7</v>
      </c>
      <c r="I28" s="44">
        <v>15.6</v>
      </c>
      <c r="J28" s="44">
        <v>5.7</v>
      </c>
      <c r="K28" s="44">
        <v>6.3</v>
      </c>
      <c r="L28" s="44">
        <v>18.600000000000001</v>
      </c>
      <c r="M28" s="44">
        <v>12.8</v>
      </c>
      <c r="N28" s="44">
        <v>14.3</v>
      </c>
      <c r="O28" s="18" t="s">
        <v>15</v>
      </c>
      <c r="P28" s="12" t="s">
        <v>933</v>
      </c>
    </row>
    <row r="29" spans="1:16" x14ac:dyDescent="0.3">
      <c r="A29" s="49" t="s">
        <v>666</v>
      </c>
      <c r="B29" s="22" t="s">
        <v>84</v>
      </c>
      <c r="C29" s="44">
        <v>1.4</v>
      </c>
      <c r="D29" s="44">
        <v>2.4</v>
      </c>
      <c r="E29" s="44">
        <v>2.6</v>
      </c>
      <c r="F29" s="44">
        <v>2.4</v>
      </c>
      <c r="G29" s="44">
        <v>2.8</v>
      </c>
      <c r="H29" s="44">
        <v>2.2000000000000002</v>
      </c>
      <c r="I29" s="44">
        <v>2.5</v>
      </c>
      <c r="J29" s="44">
        <v>16.399999999999999</v>
      </c>
      <c r="K29" s="44">
        <v>16.5</v>
      </c>
      <c r="L29" s="44">
        <v>2.8</v>
      </c>
      <c r="M29" s="44">
        <v>2</v>
      </c>
      <c r="N29" s="44">
        <v>2.9</v>
      </c>
      <c r="O29" s="18" t="s">
        <v>15</v>
      </c>
      <c r="P29" s="12" t="s">
        <v>933</v>
      </c>
    </row>
    <row r="30" spans="1:16" ht="15.6" x14ac:dyDescent="0.3">
      <c r="A30" s="131" t="s">
        <v>102</v>
      </c>
      <c r="B30" s="99" t="s">
        <v>103</v>
      </c>
      <c r="C30" s="87">
        <f>IFERROR(SUM(C27:C29)/C23,"")</f>
        <v>1.0005828638041578</v>
      </c>
      <c r="D30" s="87">
        <f t="shared" ref="D30:N30" si="3">IFERROR(SUM(D27:D29)/D23,"")</f>
        <v>1</v>
      </c>
      <c r="E30" s="87">
        <f t="shared" si="3"/>
        <v>1.0000000000000002</v>
      </c>
      <c r="F30" s="87">
        <f t="shared" si="3"/>
        <v>0.99999999999999978</v>
      </c>
      <c r="G30" s="87">
        <f t="shared" si="3"/>
        <v>1</v>
      </c>
      <c r="H30" s="87">
        <f t="shared" si="3"/>
        <v>1.0017090770983668</v>
      </c>
      <c r="I30" s="87">
        <f t="shared" si="3"/>
        <v>1</v>
      </c>
      <c r="J30" s="87">
        <f t="shared" si="3"/>
        <v>1.0002663640000002</v>
      </c>
      <c r="K30" s="87">
        <f t="shared" si="3"/>
        <v>1.000878624964664</v>
      </c>
      <c r="L30" s="87">
        <f t="shared" si="3"/>
        <v>1.0005800464037125</v>
      </c>
      <c r="M30" s="87">
        <f t="shared" si="3"/>
        <v>1</v>
      </c>
      <c r="N30" s="87">
        <f t="shared" si="3"/>
        <v>1</v>
      </c>
      <c r="O30" s="78"/>
      <c r="P30" s="78"/>
    </row>
    <row r="31" spans="1:16" ht="15.6" x14ac:dyDescent="0.3">
      <c r="A31" s="96"/>
      <c r="B31" s="96"/>
      <c r="O31" s="78"/>
      <c r="P31" s="78"/>
    </row>
    <row r="32" spans="1:16" ht="15.6" x14ac:dyDescent="0.3">
      <c r="A32" s="133" t="s">
        <v>935</v>
      </c>
      <c r="B32" s="197" t="s">
        <v>84</v>
      </c>
      <c r="C32" s="44">
        <v>6.9</v>
      </c>
      <c r="D32" s="44">
        <v>11.4</v>
      </c>
      <c r="E32" s="44">
        <v>12</v>
      </c>
      <c r="F32" s="44">
        <v>12</v>
      </c>
      <c r="G32" s="44">
        <v>12.8</v>
      </c>
      <c r="H32" s="44">
        <v>13.7</v>
      </c>
      <c r="I32" s="44">
        <v>15.8</v>
      </c>
      <c r="J32" s="44">
        <v>18</v>
      </c>
      <c r="K32" s="44">
        <v>18.100000000000001</v>
      </c>
      <c r="L32" s="44">
        <v>18</v>
      </c>
      <c r="M32" s="44">
        <v>10.6</v>
      </c>
      <c r="N32" s="44">
        <v>10.8</v>
      </c>
      <c r="O32" s="18" t="s">
        <v>15</v>
      </c>
      <c r="P32" s="12" t="s">
        <v>933</v>
      </c>
    </row>
    <row r="33" spans="1:16" ht="15.6" x14ac:dyDescent="0.3">
      <c r="A33" s="49" t="s">
        <v>668</v>
      </c>
      <c r="B33" s="198" t="s">
        <v>84</v>
      </c>
      <c r="C33" s="44">
        <v>3.4</v>
      </c>
      <c r="D33" s="44">
        <v>5.6</v>
      </c>
      <c r="E33" s="44">
        <v>6.9</v>
      </c>
      <c r="F33" s="44">
        <v>7.4</v>
      </c>
      <c r="G33" s="44">
        <v>7.7</v>
      </c>
      <c r="H33" s="44">
        <v>7</v>
      </c>
      <c r="I33" s="44">
        <v>6.4</v>
      </c>
      <c r="J33" s="44">
        <v>6.4</v>
      </c>
      <c r="K33" s="44">
        <v>6.5</v>
      </c>
      <c r="L33" s="44">
        <v>6.2</v>
      </c>
      <c r="M33" s="44">
        <v>4.9000000000000004</v>
      </c>
      <c r="N33" s="44">
        <v>4.2</v>
      </c>
      <c r="O33" s="18" t="s">
        <v>15</v>
      </c>
      <c r="P33" s="12" t="s">
        <v>933</v>
      </c>
    </row>
    <row r="34" spans="1:16" ht="15.6" x14ac:dyDescent="0.3">
      <c r="A34" s="49" t="s">
        <v>669</v>
      </c>
      <c r="B34" s="198" t="s">
        <v>84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0.01</v>
      </c>
      <c r="I34" s="44">
        <v>0</v>
      </c>
      <c r="J34" s="44">
        <v>0</v>
      </c>
      <c r="K34" s="44">
        <v>0</v>
      </c>
      <c r="L34" s="44">
        <v>0.6</v>
      </c>
      <c r="M34" s="44">
        <v>0.7</v>
      </c>
      <c r="N34" s="44">
        <v>0.5</v>
      </c>
      <c r="O34" s="18" t="s">
        <v>15</v>
      </c>
      <c r="P34" s="12" t="s">
        <v>933</v>
      </c>
    </row>
    <row r="35" spans="1:16" ht="15.6" x14ac:dyDescent="0.3">
      <c r="A35" s="49" t="s">
        <v>670</v>
      </c>
      <c r="B35" s="198" t="s">
        <v>84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8"/>
      <c r="P35" s="78"/>
    </row>
    <row r="36" spans="1:16" ht="15.6" x14ac:dyDescent="0.3">
      <c r="A36" s="49" t="s">
        <v>671</v>
      </c>
      <c r="B36" s="198" t="s">
        <v>84</v>
      </c>
      <c r="C36" s="44">
        <v>0</v>
      </c>
      <c r="D36" s="44">
        <v>0</v>
      </c>
      <c r="E36" s="44">
        <v>0.5</v>
      </c>
      <c r="F36" s="44">
        <v>0.1</v>
      </c>
      <c r="G36" s="44">
        <v>0.3</v>
      </c>
      <c r="H36" s="44">
        <v>0.03</v>
      </c>
      <c r="I36" s="44">
        <v>0.03</v>
      </c>
      <c r="J36" s="44">
        <v>0.03</v>
      </c>
      <c r="K36" s="44">
        <v>0.08</v>
      </c>
      <c r="L36" s="44">
        <v>8.55104E-2</v>
      </c>
      <c r="M36" s="44">
        <v>0.3</v>
      </c>
      <c r="N36" s="44">
        <v>0.5</v>
      </c>
      <c r="O36" s="18" t="s">
        <v>15</v>
      </c>
      <c r="P36" s="12" t="s">
        <v>933</v>
      </c>
    </row>
    <row r="37" spans="1:16" ht="15.6" x14ac:dyDescent="0.3">
      <c r="A37" s="49" t="s">
        <v>672</v>
      </c>
      <c r="B37" s="198" t="s">
        <v>84</v>
      </c>
      <c r="C37" s="44">
        <v>0</v>
      </c>
      <c r="D37" s="44">
        <v>0</v>
      </c>
      <c r="E37" s="44">
        <v>0</v>
      </c>
      <c r="F37" s="44">
        <v>0.2</v>
      </c>
      <c r="G37" s="44">
        <v>0.3</v>
      </c>
      <c r="H37" s="44">
        <v>0.4</v>
      </c>
      <c r="I37" s="44">
        <v>0.8</v>
      </c>
      <c r="J37" s="44">
        <v>1.2</v>
      </c>
      <c r="K37" s="44">
        <v>1.6</v>
      </c>
      <c r="L37" s="44">
        <v>2.7</v>
      </c>
      <c r="M37" s="44">
        <v>2.8</v>
      </c>
      <c r="N37" s="44">
        <v>6.6</v>
      </c>
      <c r="O37" s="18" t="s">
        <v>15</v>
      </c>
      <c r="P37" s="12" t="s">
        <v>933</v>
      </c>
    </row>
    <row r="38" spans="1:16" ht="15.6" x14ac:dyDescent="0.3">
      <c r="A38" s="49" t="s">
        <v>673</v>
      </c>
      <c r="B38" s="198" t="s">
        <v>84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35"/>
      <c r="N38" s="135"/>
      <c r="O38" s="78"/>
      <c r="P38" s="78"/>
    </row>
    <row r="39" spans="1:16" ht="15.6" x14ac:dyDescent="0.3">
      <c r="A39" s="131" t="s">
        <v>102</v>
      </c>
      <c r="B39" s="99" t="s">
        <v>103</v>
      </c>
      <c r="C39" s="87">
        <f>IFERROR(SUM(C32:C38)/C23,"")</f>
        <v>1.0005828638041578</v>
      </c>
      <c r="D39" s="87">
        <f t="shared" ref="D39:N39" si="4">IFERROR(SUM(D32:D38)/D23,"")</f>
        <v>1</v>
      </c>
      <c r="E39" s="87">
        <f t="shared" si="4"/>
        <v>1</v>
      </c>
      <c r="F39" s="87">
        <f t="shared" si="4"/>
        <v>1</v>
      </c>
      <c r="G39" s="87">
        <f t="shared" si="4"/>
        <v>1</v>
      </c>
      <c r="H39" s="87">
        <f t="shared" si="4"/>
        <v>1.003608051652108</v>
      </c>
      <c r="I39" s="87">
        <f t="shared" si="4"/>
        <v>1.0013043478260872</v>
      </c>
      <c r="J39" s="87">
        <f t="shared" si="4"/>
        <v>1.000273192054014</v>
      </c>
      <c r="K39" s="87">
        <f t="shared" si="4"/>
        <v>0.9992395437262358</v>
      </c>
      <c r="L39" s="87">
        <f t="shared" si="4"/>
        <v>1.0000547563805104</v>
      </c>
      <c r="M39" s="87">
        <f t="shared" si="4"/>
        <v>1</v>
      </c>
      <c r="N39" s="87">
        <f t="shared" si="4"/>
        <v>1</v>
      </c>
      <c r="O39" s="78"/>
      <c r="P39" s="78"/>
    </row>
    <row r="40" spans="1:16" ht="15.6" x14ac:dyDescent="0.3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5.6" x14ac:dyDescent="0.3">
      <c r="A41" s="8" t="s">
        <v>674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5.6" x14ac:dyDescent="0.3">
      <c r="A42" s="133" t="s">
        <v>675</v>
      </c>
      <c r="B42" s="197" t="s">
        <v>84</v>
      </c>
      <c r="C42" s="44">
        <v>19.7</v>
      </c>
      <c r="D42" s="44">
        <v>23.2</v>
      </c>
      <c r="E42" s="44">
        <v>35.200000000000003</v>
      </c>
      <c r="F42" s="44">
        <v>38.700000000000003</v>
      </c>
      <c r="G42" s="44">
        <v>42.3</v>
      </c>
      <c r="H42" s="44">
        <v>45.5</v>
      </c>
      <c r="I42" s="44">
        <v>48.8</v>
      </c>
      <c r="J42" s="44">
        <v>51.7</v>
      </c>
      <c r="K42" s="44">
        <v>54.5</v>
      </c>
      <c r="L42" s="44">
        <v>57.866999999999997</v>
      </c>
      <c r="M42" s="44">
        <v>60.656999999999996</v>
      </c>
      <c r="N42" s="44">
        <v>63.6</v>
      </c>
      <c r="O42" s="18" t="s">
        <v>648</v>
      </c>
      <c r="P42" s="12" t="s">
        <v>933</v>
      </c>
    </row>
    <row r="43" spans="1:16" ht="15.6" x14ac:dyDescent="0.3">
      <c r="A43" s="49" t="s">
        <v>676</v>
      </c>
      <c r="B43" s="198" t="s">
        <v>84</v>
      </c>
      <c r="C43" s="44">
        <v>0.48</v>
      </c>
      <c r="D43" s="44">
        <v>0.56999999999999995</v>
      </c>
      <c r="E43" s="44">
        <v>1.33</v>
      </c>
      <c r="F43" s="44">
        <v>1.5</v>
      </c>
      <c r="G43" s="44">
        <v>1.72</v>
      </c>
      <c r="H43" s="44">
        <v>1.621</v>
      </c>
      <c r="I43" s="44">
        <v>1.782</v>
      </c>
      <c r="J43" s="44">
        <v>1.292</v>
      </c>
      <c r="K43" s="44">
        <v>1.3720000000000001</v>
      </c>
      <c r="L43" s="44">
        <v>1.3859999999999999</v>
      </c>
      <c r="M43" s="44">
        <v>1.4060000000000001</v>
      </c>
      <c r="N43" s="44">
        <v>1.6440000000000001</v>
      </c>
      <c r="O43" s="18" t="s">
        <v>648</v>
      </c>
      <c r="P43" s="12" t="s">
        <v>933</v>
      </c>
    </row>
    <row r="44" spans="1:16" ht="15.6" x14ac:dyDescent="0.3">
      <c r="A44" s="96"/>
      <c r="B44" s="19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18"/>
      <c r="P44" s="96"/>
    </row>
    <row r="45" spans="1:16" ht="15.6" x14ac:dyDescent="0.3">
      <c r="A45" s="96"/>
      <c r="B45" s="199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5.6" x14ac:dyDescent="0.3">
      <c r="A46" s="8" t="s">
        <v>677</v>
      </c>
      <c r="B46" s="19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5.6" x14ac:dyDescent="0.3">
      <c r="A47" s="96"/>
      <c r="B47" s="1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5.6" x14ac:dyDescent="0.3">
      <c r="A48" s="133" t="s">
        <v>678</v>
      </c>
      <c r="B48" s="197" t="s">
        <v>84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6" x14ac:dyDescent="0.3">
      <c r="A49" s="133" t="s">
        <v>678</v>
      </c>
      <c r="B49" s="197" t="s">
        <v>84</v>
      </c>
      <c r="C49" s="106">
        <f t="shared" ref="C49:N49" si="5">SUM(C50:C55)</f>
        <v>4.1669999999999998</v>
      </c>
      <c r="D49" s="106">
        <f t="shared" si="5"/>
        <v>4.2</v>
      </c>
      <c r="E49" s="106">
        <f t="shared" si="5"/>
        <v>4.3</v>
      </c>
      <c r="F49" s="106">
        <f t="shared" si="5"/>
        <v>4.5</v>
      </c>
      <c r="G49" s="106">
        <f t="shared" si="5"/>
        <v>4.6000000000000005</v>
      </c>
      <c r="H49" s="106">
        <f t="shared" si="5"/>
        <v>4.83</v>
      </c>
      <c r="I49" s="106">
        <f t="shared" si="5"/>
        <v>4.7700000000000005</v>
      </c>
      <c r="J49" s="106">
        <f t="shared" si="5"/>
        <v>4.91</v>
      </c>
      <c r="K49" s="106">
        <f t="shared" si="5"/>
        <v>4.97</v>
      </c>
      <c r="L49" s="106">
        <f t="shared" si="5"/>
        <v>5.2</v>
      </c>
      <c r="M49" s="106">
        <f t="shared" si="5"/>
        <v>5.2350000000000003</v>
      </c>
      <c r="N49" s="106">
        <f t="shared" si="5"/>
        <v>5.3000000000000007</v>
      </c>
      <c r="O49" s="18" t="s">
        <v>648</v>
      </c>
      <c r="P49" s="12" t="s">
        <v>933</v>
      </c>
    </row>
    <row r="50" spans="1:16" ht="15.6" x14ac:dyDescent="0.3">
      <c r="A50" s="49" t="s">
        <v>679</v>
      </c>
      <c r="B50" s="198" t="s">
        <v>84</v>
      </c>
      <c r="C50" s="44">
        <v>0.26900000000000002</v>
      </c>
      <c r="D50" s="44">
        <v>0.3</v>
      </c>
      <c r="E50" s="44">
        <v>0.2</v>
      </c>
      <c r="F50" s="44">
        <v>0.2</v>
      </c>
      <c r="G50" s="44">
        <v>0.2</v>
      </c>
      <c r="H50" s="44">
        <v>0.2</v>
      </c>
      <c r="I50" s="44">
        <v>0.2</v>
      </c>
      <c r="J50" s="44">
        <v>0.2</v>
      </c>
      <c r="K50" s="44">
        <v>0.25</v>
      </c>
      <c r="L50" s="44">
        <v>0.2</v>
      </c>
      <c r="M50" s="44">
        <v>0.23499999999999999</v>
      </c>
      <c r="N50" s="44">
        <v>0.2</v>
      </c>
      <c r="O50" s="18" t="s">
        <v>15</v>
      </c>
      <c r="P50" s="12" t="s">
        <v>933</v>
      </c>
    </row>
    <row r="51" spans="1:16" ht="15.6" x14ac:dyDescent="0.3">
      <c r="A51" s="49" t="s">
        <v>680</v>
      </c>
      <c r="B51" s="198" t="s">
        <v>84</v>
      </c>
      <c r="C51" s="44">
        <v>3.8959999999999999</v>
      </c>
      <c r="D51" s="44">
        <v>3.9</v>
      </c>
      <c r="E51" s="44">
        <v>4.0999999999999996</v>
      </c>
      <c r="F51" s="44">
        <v>4.3</v>
      </c>
      <c r="G51" s="44">
        <v>4.4000000000000004</v>
      </c>
      <c r="H51" s="44">
        <v>4.5</v>
      </c>
      <c r="I51" s="44">
        <v>4.5</v>
      </c>
      <c r="J51" s="44">
        <v>4.7</v>
      </c>
      <c r="K51" s="44">
        <v>4.71</v>
      </c>
      <c r="L51" s="44">
        <v>4.8</v>
      </c>
      <c r="M51" s="44">
        <v>4.7</v>
      </c>
      <c r="N51" s="44">
        <v>4.7</v>
      </c>
      <c r="O51" s="18" t="s">
        <v>15</v>
      </c>
      <c r="P51" s="12" t="s">
        <v>933</v>
      </c>
    </row>
    <row r="52" spans="1:16" ht="15.6" x14ac:dyDescent="0.3">
      <c r="A52" s="49" t="s">
        <v>681</v>
      </c>
      <c r="B52" s="198" t="s">
        <v>84</v>
      </c>
      <c r="C52" s="44">
        <v>2E-3</v>
      </c>
      <c r="D52" s="44">
        <v>0</v>
      </c>
      <c r="E52" s="44">
        <v>0</v>
      </c>
      <c r="F52" s="44">
        <v>0</v>
      </c>
      <c r="G52" s="44">
        <v>0</v>
      </c>
      <c r="H52" s="44">
        <v>0.08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18" t="s">
        <v>15</v>
      </c>
      <c r="P52" s="12" t="s">
        <v>933</v>
      </c>
    </row>
    <row r="53" spans="1:16" ht="15.6" x14ac:dyDescent="0.3">
      <c r="A53" s="49" t="s">
        <v>682</v>
      </c>
      <c r="B53" s="198" t="s">
        <v>84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105"/>
      <c r="P53" s="96"/>
    </row>
    <row r="54" spans="1:16" ht="15.6" x14ac:dyDescent="0.3">
      <c r="A54" s="49" t="s">
        <v>683</v>
      </c>
      <c r="B54" s="198" t="s">
        <v>84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05"/>
      <c r="P54" s="96"/>
    </row>
    <row r="55" spans="1:16" ht="15.6" x14ac:dyDescent="0.3">
      <c r="A55" s="49" t="s">
        <v>684</v>
      </c>
      <c r="B55" s="198" t="s">
        <v>84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0.05</v>
      </c>
      <c r="I55" s="44">
        <v>7.0000000000000007E-2</v>
      </c>
      <c r="J55" s="44">
        <v>0.01</v>
      </c>
      <c r="K55" s="44">
        <v>0.01</v>
      </c>
      <c r="L55" s="44">
        <v>0.2</v>
      </c>
      <c r="M55" s="44">
        <v>0.3</v>
      </c>
      <c r="N55" s="44">
        <v>0.4</v>
      </c>
      <c r="O55" s="18" t="s">
        <v>15</v>
      </c>
      <c r="P55" s="12" t="s">
        <v>933</v>
      </c>
    </row>
    <row r="56" spans="1:16" ht="15.6" x14ac:dyDescent="0.3">
      <c r="A56" s="131" t="s">
        <v>102</v>
      </c>
      <c r="B56" s="99" t="s">
        <v>103</v>
      </c>
      <c r="C56" s="87">
        <f t="shared" ref="C56:N56" si="6">IFERROR(SUM(C50:C55)/C49,"")</f>
        <v>1</v>
      </c>
      <c r="D56" s="87">
        <f t="shared" si="6"/>
        <v>1</v>
      </c>
      <c r="E56" s="87">
        <f t="shared" si="6"/>
        <v>1</v>
      </c>
      <c r="F56" s="87">
        <f t="shared" si="6"/>
        <v>1</v>
      </c>
      <c r="G56" s="87">
        <f t="shared" si="6"/>
        <v>1</v>
      </c>
      <c r="H56" s="87">
        <f t="shared" si="6"/>
        <v>1</v>
      </c>
      <c r="I56" s="87">
        <f t="shared" si="6"/>
        <v>1</v>
      </c>
      <c r="J56" s="87">
        <f t="shared" si="6"/>
        <v>1</v>
      </c>
      <c r="K56" s="87">
        <f t="shared" si="6"/>
        <v>1</v>
      </c>
      <c r="L56" s="87">
        <f t="shared" si="6"/>
        <v>1</v>
      </c>
      <c r="M56" s="87">
        <f t="shared" si="6"/>
        <v>1</v>
      </c>
      <c r="N56" s="87">
        <f t="shared" si="6"/>
        <v>1</v>
      </c>
      <c r="O56" s="105"/>
      <c r="P56" s="96"/>
    </row>
    <row r="57" spans="1:16" ht="15.6" x14ac:dyDescent="0.3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5.6" x14ac:dyDescent="0.3">
      <c r="A58" s="133" t="s">
        <v>685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5.6" x14ac:dyDescent="0.3">
      <c r="A59" s="133" t="s">
        <v>686</v>
      </c>
      <c r="B59" s="197" t="s">
        <v>84</v>
      </c>
      <c r="C59" s="106">
        <v>0.2</v>
      </c>
      <c r="D59" s="106">
        <v>0.1</v>
      </c>
      <c r="E59" s="106">
        <v>0.16</v>
      </c>
      <c r="F59" s="106">
        <v>0.2</v>
      </c>
      <c r="G59" s="106">
        <v>0.19999999999999998</v>
      </c>
      <c r="H59" s="106">
        <v>0.2</v>
      </c>
      <c r="I59" s="139">
        <v>0.17099999999999999</v>
      </c>
      <c r="J59" s="139">
        <v>0.21199999999999999</v>
      </c>
      <c r="K59" s="139">
        <v>0.14199999999999999</v>
      </c>
      <c r="L59" s="139">
        <v>0.20100000000000001</v>
      </c>
      <c r="M59" s="139">
        <v>0.223</v>
      </c>
      <c r="N59" s="139">
        <v>0.27</v>
      </c>
      <c r="O59" s="18" t="s">
        <v>648</v>
      </c>
      <c r="P59" s="12" t="s">
        <v>933</v>
      </c>
    </row>
    <row r="60" spans="1:16" ht="15.6" x14ac:dyDescent="0.3">
      <c r="A60" s="49" t="s">
        <v>687</v>
      </c>
      <c r="B60" s="198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18" t="s">
        <v>15</v>
      </c>
      <c r="P60" s="12" t="s">
        <v>933</v>
      </c>
    </row>
    <row r="61" spans="1:16" ht="15.6" x14ac:dyDescent="0.3">
      <c r="A61" s="49" t="s">
        <v>688</v>
      </c>
      <c r="B61" s="198" t="s">
        <v>84</v>
      </c>
      <c r="C61" s="44">
        <v>0.2</v>
      </c>
      <c r="D61" s="44">
        <v>0.1</v>
      </c>
      <c r="E61" s="44">
        <v>0.16</v>
      </c>
      <c r="F61" s="44">
        <v>0.2</v>
      </c>
      <c r="G61" s="44">
        <v>0.18</v>
      </c>
      <c r="H61" s="44">
        <v>0.19</v>
      </c>
      <c r="I61" s="44">
        <v>0.14899999999999999</v>
      </c>
      <c r="J61" s="44">
        <v>0.183</v>
      </c>
      <c r="K61" s="44">
        <v>0.14199999999999999</v>
      </c>
      <c r="L61" s="44">
        <v>0.125</v>
      </c>
      <c r="M61" s="44">
        <v>0.10199999999999999</v>
      </c>
      <c r="N61" s="44">
        <v>0.13</v>
      </c>
      <c r="O61" s="18" t="s">
        <v>15</v>
      </c>
      <c r="P61" s="12" t="s">
        <v>933</v>
      </c>
    </row>
    <row r="62" spans="1:16" ht="15.6" x14ac:dyDescent="0.3">
      <c r="A62" s="49" t="s">
        <v>689</v>
      </c>
      <c r="B62" s="198" t="s">
        <v>84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141"/>
      <c r="N62" s="141"/>
      <c r="O62" s="96"/>
      <c r="P62" s="96"/>
    </row>
    <row r="63" spans="1:16" ht="15.6" x14ac:dyDescent="0.3">
      <c r="A63" s="49" t="s">
        <v>690</v>
      </c>
      <c r="B63" s="198" t="s">
        <v>84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18"/>
      <c r="P63" s="96"/>
    </row>
    <row r="64" spans="1:16" ht="15.6" x14ac:dyDescent="0.3">
      <c r="A64" s="49" t="s">
        <v>691</v>
      </c>
      <c r="B64" s="198" t="s">
        <v>84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18"/>
      <c r="P64" s="96"/>
    </row>
    <row r="65" spans="1:16" ht="15.6" x14ac:dyDescent="0.3">
      <c r="A65" s="49" t="s">
        <v>692</v>
      </c>
      <c r="B65" s="198" t="s">
        <v>84</v>
      </c>
      <c r="C65" s="44">
        <v>0</v>
      </c>
      <c r="D65" s="44">
        <v>0</v>
      </c>
      <c r="E65" s="44">
        <v>0</v>
      </c>
      <c r="F65" s="44">
        <v>0</v>
      </c>
      <c r="G65" s="44">
        <v>0.02</v>
      </c>
      <c r="H65" s="44">
        <v>0.01</v>
      </c>
      <c r="I65" s="44">
        <v>2.1999999999999999E-2</v>
      </c>
      <c r="J65" s="44">
        <v>2.9000000000000001E-2</v>
      </c>
      <c r="K65" s="44">
        <v>0</v>
      </c>
      <c r="L65" s="44">
        <v>7.5999999999999998E-2</v>
      </c>
      <c r="M65" s="44">
        <v>0.121</v>
      </c>
      <c r="N65" s="44">
        <v>0.14000000000000001</v>
      </c>
      <c r="O65" s="18" t="s">
        <v>15</v>
      </c>
      <c r="P65" s="12" t="s">
        <v>933</v>
      </c>
    </row>
    <row r="66" spans="1:16" ht="15.6" x14ac:dyDescent="0.3">
      <c r="A66" s="131" t="s">
        <v>102</v>
      </c>
      <c r="B66" s="198" t="s">
        <v>84</v>
      </c>
      <c r="C66" s="87">
        <f>IFERROR(SUM(C61:C65)/C59,"")</f>
        <v>1</v>
      </c>
      <c r="D66" s="87">
        <f t="shared" ref="D66:N66" si="7">IFERROR(SUM(D61:D65)/D59,"")</f>
        <v>1</v>
      </c>
      <c r="E66" s="87">
        <f t="shared" si="7"/>
        <v>1</v>
      </c>
      <c r="F66" s="87">
        <f t="shared" si="7"/>
        <v>1</v>
      </c>
      <c r="G66" s="87">
        <f t="shared" si="7"/>
        <v>1</v>
      </c>
      <c r="H66" s="87">
        <f t="shared" si="7"/>
        <v>1</v>
      </c>
      <c r="I66" s="87">
        <f t="shared" si="7"/>
        <v>1</v>
      </c>
      <c r="J66" s="87">
        <f t="shared" si="7"/>
        <v>1</v>
      </c>
      <c r="K66" s="87">
        <f t="shared" si="7"/>
        <v>1</v>
      </c>
      <c r="L66" s="87">
        <f t="shared" si="7"/>
        <v>1</v>
      </c>
      <c r="M66" s="87">
        <f t="shared" si="7"/>
        <v>0.99999999999999989</v>
      </c>
      <c r="N66" s="87">
        <f t="shared" si="7"/>
        <v>1</v>
      </c>
      <c r="O66" s="96"/>
      <c r="P66" s="96"/>
    </row>
    <row r="67" spans="1:16" ht="15.6" x14ac:dyDescent="0.3">
      <c r="A67" s="96"/>
      <c r="B67" s="99" t="s">
        <v>103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5.6" x14ac:dyDescent="0.3">
      <c r="A68" s="8" t="s">
        <v>693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5.6" x14ac:dyDescent="0.3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5.6" x14ac:dyDescent="0.3">
      <c r="A70" s="133" t="s">
        <v>694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5.6" x14ac:dyDescent="0.3">
      <c r="A71" s="133" t="s">
        <v>695</v>
      </c>
      <c r="B71" s="197" t="s">
        <v>84</v>
      </c>
      <c r="C71" s="106">
        <v>55.4</v>
      </c>
      <c r="D71" s="106">
        <v>57.7</v>
      </c>
      <c r="E71" s="106">
        <v>60.8</v>
      </c>
      <c r="F71" s="106">
        <v>64.099999999999994</v>
      </c>
      <c r="G71" s="106">
        <v>68</v>
      </c>
      <c r="H71" s="106">
        <v>72.8</v>
      </c>
      <c r="I71" s="106">
        <v>78.28</v>
      </c>
      <c r="J71" s="106">
        <v>83.92</v>
      </c>
      <c r="K71" s="106">
        <v>90.12</v>
      </c>
      <c r="L71" s="106">
        <v>97.9</v>
      </c>
      <c r="M71" s="106">
        <v>101.9</v>
      </c>
      <c r="N71" s="106">
        <v>106.3</v>
      </c>
      <c r="O71" s="18" t="s">
        <v>15</v>
      </c>
      <c r="P71" s="12" t="s">
        <v>933</v>
      </c>
    </row>
    <row r="72" spans="1:16" ht="15.6" x14ac:dyDescent="0.3">
      <c r="A72" s="49" t="s">
        <v>936</v>
      </c>
      <c r="B72" s="198" t="s">
        <v>84</v>
      </c>
      <c r="C72" s="44">
        <v>14.4</v>
      </c>
      <c r="D72" s="44">
        <v>14.5</v>
      </c>
      <c r="E72" s="44">
        <v>14.5</v>
      </c>
      <c r="F72" s="44">
        <v>14.4</v>
      </c>
      <c r="G72" s="44">
        <v>14.4</v>
      </c>
      <c r="H72" s="44">
        <v>14.7</v>
      </c>
      <c r="I72" s="44">
        <v>15</v>
      </c>
      <c r="J72" s="44">
        <v>15.3</v>
      </c>
      <c r="K72" s="44">
        <v>15.7</v>
      </c>
      <c r="L72" s="44">
        <v>16.399999999999999</v>
      </c>
      <c r="M72" s="44">
        <v>16.600000000000001</v>
      </c>
      <c r="N72" s="44">
        <v>16.5</v>
      </c>
      <c r="O72" s="18" t="s">
        <v>15</v>
      </c>
      <c r="P72" s="12" t="s">
        <v>933</v>
      </c>
    </row>
    <row r="73" spans="1:16" ht="15.6" x14ac:dyDescent="0.3">
      <c r="A73" s="49" t="s">
        <v>697</v>
      </c>
      <c r="B73" s="198" t="s">
        <v>84</v>
      </c>
      <c r="C73" s="44">
        <v>41</v>
      </c>
      <c r="D73" s="44">
        <v>43.2</v>
      </c>
      <c r="E73" s="44">
        <v>46.3</v>
      </c>
      <c r="F73" s="44">
        <v>49.6</v>
      </c>
      <c r="G73" s="44">
        <v>53.5</v>
      </c>
      <c r="H73" s="44">
        <v>58</v>
      </c>
      <c r="I73" s="44">
        <v>63.14</v>
      </c>
      <c r="J73" s="44">
        <v>68.400000000000006</v>
      </c>
      <c r="K73" s="44">
        <v>74.2</v>
      </c>
      <c r="L73" s="44">
        <v>81.099999999999994</v>
      </c>
      <c r="M73" s="44">
        <v>84.9</v>
      </c>
      <c r="N73" s="44">
        <v>89.3</v>
      </c>
      <c r="O73" s="18" t="s">
        <v>15</v>
      </c>
      <c r="P73" s="12" t="s">
        <v>933</v>
      </c>
    </row>
    <row r="74" spans="1:16" ht="15.6" x14ac:dyDescent="0.3">
      <c r="A74" s="49" t="s">
        <v>698</v>
      </c>
      <c r="B74" s="198" t="s">
        <v>84</v>
      </c>
      <c r="C74" s="44">
        <v>0</v>
      </c>
      <c r="D74" s="44">
        <v>0</v>
      </c>
      <c r="E74" s="44">
        <v>0</v>
      </c>
      <c r="F74" s="44">
        <v>0.1</v>
      </c>
      <c r="G74" s="44">
        <v>0.1</v>
      </c>
      <c r="H74" s="44">
        <v>0.02</v>
      </c>
      <c r="I74" s="44">
        <v>0.02</v>
      </c>
      <c r="J74" s="44">
        <v>0.02</v>
      </c>
      <c r="K74" s="44">
        <v>0.02</v>
      </c>
      <c r="L74" s="44">
        <v>0.02</v>
      </c>
      <c r="M74" s="44">
        <v>0</v>
      </c>
      <c r="N74" s="44">
        <v>0.1</v>
      </c>
      <c r="O74" s="18" t="s">
        <v>15</v>
      </c>
      <c r="P74" s="12" t="s">
        <v>933</v>
      </c>
    </row>
    <row r="75" spans="1:16" ht="15.6" x14ac:dyDescent="0.3">
      <c r="A75" s="49" t="s">
        <v>699</v>
      </c>
      <c r="B75" s="198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18"/>
      <c r="P75" s="96"/>
    </row>
    <row r="76" spans="1:16" ht="15.6" x14ac:dyDescent="0.3">
      <c r="A76" s="49" t="s">
        <v>700</v>
      </c>
      <c r="B76" s="198" t="s">
        <v>84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18"/>
      <c r="P76" s="96"/>
    </row>
    <row r="77" spans="1:16" ht="15.6" x14ac:dyDescent="0.3">
      <c r="A77" s="49" t="s">
        <v>701</v>
      </c>
      <c r="B77" s="134" t="s">
        <v>84</v>
      </c>
      <c r="C77" s="44"/>
      <c r="D77" s="44"/>
      <c r="E77" s="44"/>
      <c r="F77" s="44"/>
      <c r="G77" s="44"/>
      <c r="H77" s="44">
        <v>0.08</v>
      </c>
      <c r="I77" s="44">
        <v>0.12</v>
      </c>
      <c r="J77" s="44">
        <v>0.2</v>
      </c>
      <c r="K77" s="44">
        <v>0.2</v>
      </c>
      <c r="L77" s="44">
        <v>0.38</v>
      </c>
      <c r="M77" s="44">
        <v>0.4</v>
      </c>
      <c r="N77" s="44">
        <v>0.4</v>
      </c>
      <c r="O77" s="18" t="s">
        <v>15</v>
      </c>
      <c r="P77" s="12" t="s">
        <v>933</v>
      </c>
    </row>
    <row r="78" spans="1:16" ht="15.6" x14ac:dyDescent="0.3">
      <c r="A78" s="131" t="s">
        <v>102</v>
      </c>
      <c r="B78" s="99" t="s">
        <v>103</v>
      </c>
      <c r="C78" s="87">
        <f t="shared" ref="C78:N78" si="8">IFERROR(SUM(C72:C77)/C71,"")</f>
        <v>1</v>
      </c>
      <c r="D78" s="87">
        <f t="shared" si="8"/>
        <v>1</v>
      </c>
      <c r="E78" s="87">
        <f t="shared" si="8"/>
        <v>1</v>
      </c>
      <c r="F78" s="87">
        <f t="shared" si="8"/>
        <v>1</v>
      </c>
      <c r="G78" s="87">
        <f t="shared" si="8"/>
        <v>1</v>
      </c>
      <c r="H78" s="87">
        <f t="shared" si="8"/>
        <v>1</v>
      </c>
      <c r="I78" s="87">
        <f t="shared" si="8"/>
        <v>1</v>
      </c>
      <c r="J78" s="87">
        <f t="shared" si="8"/>
        <v>1</v>
      </c>
      <c r="K78" s="87">
        <f t="shared" si="8"/>
        <v>1</v>
      </c>
      <c r="L78" s="87">
        <f t="shared" si="8"/>
        <v>0.99999999999999989</v>
      </c>
      <c r="M78" s="87">
        <f t="shared" si="8"/>
        <v>1</v>
      </c>
      <c r="N78" s="87">
        <f t="shared" si="8"/>
        <v>1</v>
      </c>
      <c r="O78" s="142"/>
      <c r="P78" s="96"/>
    </row>
    <row r="79" spans="1:16" ht="15.6" x14ac:dyDescent="0.3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5.6" x14ac:dyDescent="0.3">
      <c r="A80" s="133" t="s">
        <v>702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5.6" x14ac:dyDescent="0.3">
      <c r="A81" s="133" t="s">
        <v>703</v>
      </c>
      <c r="B81" s="197" t="s">
        <v>84</v>
      </c>
      <c r="C81" s="106">
        <v>1.4</v>
      </c>
      <c r="D81" s="106">
        <v>2.5</v>
      </c>
      <c r="E81" s="106">
        <v>2.8</v>
      </c>
      <c r="F81" s="106">
        <v>2.9</v>
      </c>
      <c r="G81" s="106">
        <v>3.3</v>
      </c>
      <c r="H81" s="106">
        <v>4</v>
      </c>
      <c r="I81" s="106">
        <v>4.4000000000000004</v>
      </c>
      <c r="J81" s="106">
        <v>4.8</v>
      </c>
      <c r="K81" s="106">
        <v>5.0999999999999996</v>
      </c>
      <c r="L81" s="106">
        <v>4.5199999999999996</v>
      </c>
      <c r="M81" s="106">
        <v>3.3</v>
      </c>
      <c r="N81" s="106">
        <v>4.2</v>
      </c>
      <c r="O81" s="18" t="s">
        <v>15</v>
      </c>
      <c r="P81" s="12" t="s">
        <v>933</v>
      </c>
    </row>
    <row r="82" spans="1:16" ht="15.6" x14ac:dyDescent="0.3">
      <c r="A82" s="49" t="s">
        <v>704</v>
      </c>
      <c r="B82" s="198" t="s">
        <v>84</v>
      </c>
      <c r="C82" s="44">
        <v>0.4</v>
      </c>
      <c r="D82" s="44">
        <v>0.5</v>
      </c>
      <c r="E82" s="44">
        <v>0.4</v>
      </c>
      <c r="F82" s="44">
        <v>0.3</v>
      </c>
      <c r="G82" s="44">
        <v>0.4</v>
      </c>
      <c r="H82" s="44">
        <v>0.5</v>
      </c>
      <c r="I82" s="44">
        <v>0.5</v>
      </c>
      <c r="J82" s="44">
        <v>0.5</v>
      </c>
      <c r="K82" s="44">
        <v>0.6</v>
      </c>
      <c r="L82" s="44">
        <v>0.5</v>
      </c>
      <c r="M82" s="44">
        <v>0.3</v>
      </c>
      <c r="N82" s="44">
        <v>0.2</v>
      </c>
      <c r="O82" s="18" t="s">
        <v>15</v>
      </c>
      <c r="P82" s="12" t="s">
        <v>933</v>
      </c>
    </row>
    <row r="83" spans="1:16" ht="15.6" x14ac:dyDescent="0.3">
      <c r="A83" s="49" t="s">
        <v>705</v>
      </c>
      <c r="B83" s="198" t="s">
        <v>84</v>
      </c>
      <c r="C83" s="44">
        <v>1</v>
      </c>
      <c r="D83" s="44">
        <v>2</v>
      </c>
      <c r="E83" s="44">
        <v>2.4</v>
      </c>
      <c r="F83" s="44">
        <v>2.6</v>
      </c>
      <c r="G83" s="44">
        <v>2.9</v>
      </c>
      <c r="H83" s="44">
        <v>3.5</v>
      </c>
      <c r="I83" s="44">
        <v>3.9</v>
      </c>
      <c r="J83" s="44">
        <v>4.3</v>
      </c>
      <c r="K83" s="44">
        <v>4.5</v>
      </c>
      <c r="L83" s="44">
        <v>4</v>
      </c>
      <c r="M83" s="44">
        <v>3</v>
      </c>
      <c r="N83" s="44">
        <v>4</v>
      </c>
      <c r="O83" s="18" t="s">
        <v>15</v>
      </c>
      <c r="P83" s="12" t="s">
        <v>933</v>
      </c>
    </row>
    <row r="84" spans="1:16" ht="15.6" x14ac:dyDescent="0.3">
      <c r="A84" s="49" t="s">
        <v>706</v>
      </c>
      <c r="B84" s="198" t="s">
        <v>84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0"/>
      <c r="P84" s="96"/>
    </row>
    <row r="85" spans="1:16" ht="15.6" x14ac:dyDescent="0.3">
      <c r="A85" s="49" t="s">
        <v>707</v>
      </c>
      <c r="B85" s="198" t="s">
        <v>84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0"/>
      <c r="P85" s="96"/>
    </row>
    <row r="86" spans="1:16" ht="15.6" x14ac:dyDescent="0.3">
      <c r="A86" s="49" t="s">
        <v>708</v>
      </c>
      <c r="B86" s="198" t="s">
        <v>84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0"/>
      <c r="P86" s="96"/>
    </row>
    <row r="87" spans="1:16" ht="15.6" x14ac:dyDescent="0.3">
      <c r="A87" s="49" t="s">
        <v>709</v>
      </c>
      <c r="B87" s="198" t="s">
        <v>84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18" t="s">
        <v>15</v>
      </c>
      <c r="P87" s="12" t="s">
        <v>933</v>
      </c>
    </row>
    <row r="88" spans="1:16" ht="15.6" x14ac:dyDescent="0.3">
      <c r="A88" s="131" t="s">
        <v>102</v>
      </c>
      <c r="B88" s="99" t="s">
        <v>103</v>
      </c>
      <c r="C88" s="87">
        <f>IFERROR(SUM(C82:C87)/C81,"")</f>
        <v>1</v>
      </c>
      <c r="D88" s="87">
        <f t="shared" ref="D88:N88" si="9">IFERROR(SUM(D82:D87)/D81,"")</f>
        <v>1</v>
      </c>
      <c r="E88" s="87">
        <f t="shared" si="9"/>
        <v>1</v>
      </c>
      <c r="F88" s="87">
        <f t="shared" si="9"/>
        <v>1</v>
      </c>
      <c r="G88" s="87">
        <f t="shared" si="9"/>
        <v>1</v>
      </c>
      <c r="H88" s="87">
        <f t="shared" si="9"/>
        <v>1</v>
      </c>
      <c r="I88" s="87">
        <f t="shared" si="9"/>
        <v>1</v>
      </c>
      <c r="J88" s="87">
        <f t="shared" si="9"/>
        <v>1</v>
      </c>
      <c r="K88" s="87">
        <f t="shared" si="9"/>
        <v>1</v>
      </c>
      <c r="L88" s="87">
        <f t="shared" si="9"/>
        <v>0.99557522123893816</v>
      </c>
      <c r="M88" s="87">
        <f t="shared" si="9"/>
        <v>1</v>
      </c>
      <c r="N88" s="87">
        <f t="shared" si="9"/>
        <v>1</v>
      </c>
      <c r="O88" s="96"/>
      <c r="P88" s="96"/>
    </row>
    <row r="89" spans="1:16" ht="15.6" x14ac:dyDescent="0.3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5.6" x14ac:dyDescent="0.3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5.6" x14ac:dyDescent="0.3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5.6" x14ac:dyDescent="0.3">
      <c r="A92" s="8" t="s">
        <v>710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.6" x14ac:dyDescent="0.3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5.6" x14ac:dyDescent="0.3">
      <c r="A94" s="133" t="s">
        <v>711</v>
      </c>
      <c r="B94" s="197" t="s">
        <v>84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.6" x14ac:dyDescent="0.3">
      <c r="A95" s="133" t="s">
        <v>711</v>
      </c>
      <c r="B95" s="198" t="s">
        <v>84</v>
      </c>
      <c r="C95" s="106">
        <v>25.8</v>
      </c>
      <c r="D95" s="106">
        <v>26.6</v>
      </c>
      <c r="E95" s="106">
        <v>27.2</v>
      </c>
      <c r="F95" s="106">
        <v>28.1</v>
      </c>
      <c r="G95" s="106">
        <v>28.6</v>
      </c>
      <c r="H95" s="106">
        <v>28.9</v>
      </c>
      <c r="I95" s="106">
        <v>29.9</v>
      </c>
      <c r="J95" s="106">
        <v>30.9</v>
      </c>
      <c r="K95" s="106">
        <v>31.5</v>
      </c>
      <c r="L95" s="106">
        <v>33.200000000000003</v>
      </c>
      <c r="M95" s="106">
        <v>33.5</v>
      </c>
      <c r="N95" s="106">
        <v>33.799999999999997</v>
      </c>
      <c r="O95" s="18" t="s">
        <v>15</v>
      </c>
      <c r="P95" s="12" t="s">
        <v>933</v>
      </c>
    </row>
    <row r="96" spans="1:16" ht="15.6" x14ac:dyDescent="0.3">
      <c r="A96" s="49" t="s">
        <v>712</v>
      </c>
      <c r="B96" s="198" t="s">
        <v>84</v>
      </c>
      <c r="C96" s="44">
        <v>11.5</v>
      </c>
      <c r="D96" s="44">
        <v>11.3</v>
      </c>
      <c r="E96" s="44">
        <v>14.1</v>
      </c>
      <c r="F96" s="44">
        <v>14.6</v>
      </c>
      <c r="G96" s="44">
        <v>15</v>
      </c>
      <c r="H96" s="44">
        <v>15.2</v>
      </c>
      <c r="I96" s="44">
        <v>15.9</v>
      </c>
      <c r="J96" s="44">
        <v>16.5</v>
      </c>
      <c r="K96" s="44">
        <v>16.899999999999999</v>
      </c>
      <c r="L96" s="44">
        <v>17.7</v>
      </c>
      <c r="M96" s="44">
        <v>17.899999999999999</v>
      </c>
      <c r="N96" s="44">
        <v>18</v>
      </c>
      <c r="O96" s="18" t="s">
        <v>15</v>
      </c>
      <c r="P96" s="12" t="s">
        <v>933</v>
      </c>
    </row>
    <row r="97" spans="1:16" ht="15.6" x14ac:dyDescent="0.3">
      <c r="A97" s="49" t="s">
        <v>713</v>
      </c>
      <c r="B97" s="198" t="s">
        <v>84</v>
      </c>
      <c r="C97" s="44">
        <v>14.3</v>
      </c>
      <c r="D97" s="44">
        <v>15.3</v>
      </c>
      <c r="E97" s="44">
        <v>13.1</v>
      </c>
      <c r="F97" s="44">
        <v>13.5</v>
      </c>
      <c r="G97" s="44">
        <v>13.6</v>
      </c>
      <c r="H97" s="44">
        <v>13.7</v>
      </c>
      <c r="I97" s="44">
        <v>14</v>
      </c>
      <c r="J97" s="44">
        <v>14.4</v>
      </c>
      <c r="K97" s="44">
        <v>14.6</v>
      </c>
      <c r="L97" s="44">
        <v>15.5</v>
      </c>
      <c r="M97" s="44">
        <v>15.6</v>
      </c>
      <c r="N97" s="44">
        <v>15.8</v>
      </c>
      <c r="O97" s="18" t="s">
        <v>15</v>
      </c>
      <c r="P97" s="12" t="s">
        <v>933</v>
      </c>
    </row>
    <row r="98" spans="1:16" ht="15.6" x14ac:dyDescent="0.3">
      <c r="A98" s="49" t="s">
        <v>714</v>
      </c>
      <c r="B98" s="198" t="s">
        <v>84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18" t="s">
        <v>15</v>
      </c>
      <c r="P98" s="12" t="s">
        <v>933</v>
      </c>
    </row>
    <row r="99" spans="1:16" ht="15.6" x14ac:dyDescent="0.3">
      <c r="A99" s="131" t="s">
        <v>102</v>
      </c>
      <c r="B99" s="99" t="s">
        <v>103</v>
      </c>
      <c r="C99" s="87">
        <f>IFERROR(SUM(C101:C103)/C95,"")</f>
        <v>1</v>
      </c>
      <c r="D99" s="87">
        <f t="shared" ref="D99:N99" si="10">IFERROR(SUM(D101:D103)/D95,"")</f>
        <v>0.99999999999999989</v>
      </c>
      <c r="E99" s="87">
        <f t="shared" si="10"/>
        <v>1.0000000000000002</v>
      </c>
      <c r="F99" s="87">
        <f t="shared" si="10"/>
        <v>1</v>
      </c>
      <c r="G99" s="87">
        <f t="shared" si="10"/>
        <v>0.99999999999999989</v>
      </c>
      <c r="H99" s="87">
        <f t="shared" si="10"/>
        <v>1.0000000000000002</v>
      </c>
      <c r="I99" s="87">
        <f t="shared" si="10"/>
        <v>1.0000000000000002</v>
      </c>
      <c r="J99" s="87">
        <f t="shared" si="10"/>
        <v>1.0000000000000002</v>
      </c>
      <c r="K99" s="87">
        <f t="shared" si="10"/>
        <v>1.0000000000000002</v>
      </c>
      <c r="L99" s="87">
        <f t="shared" si="10"/>
        <v>1.0002390514438706</v>
      </c>
      <c r="M99" s="87">
        <f t="shared" si="10"/>
        <v>1</v>
      </c>
      <c r="N99" s="87">
        <f t="shared" si="10"/>
        <v>1.0000000000000002</v>
      </c>
      <c r="O99" s="102"/>
      <c r="P99" s="96"/>
    </row>
    <row r="100" spans="1:16" ht="15.6" x14ac:dyDescent="0.3">
      <c r="A100" s="96"/>
      <c r="B100" s="107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2"/>
      <c r="P100" s="96"/>
    </row>
    <row r="101" spans="1:16" ht="15.6" x14ac:dyDescent="0.3">
      <c r="A101" s="49" t="s">
        <v>715</v>
      </c>
      <c r="B101" s="198" t="s">
        <v>84</v>
      </c>
      <c r="C101" s="44">
        <v>4.3</v>
      </c>
      <c r="D101" s="44">
        <v>4.2</v>
      </c>
      <c r="E101" s="44">
        <v>4.0999999999999996</v>
      </c>
      <c r="F101" s="44">
        <v>4</v>
      </c>
      <c r="G101" s="44">
        <v>3.9</v>
      </c>
      <c r="H101" s="44">
        <v>3.8</v>
      </c>
      <c r="I101" s="44">
        <v>3.8</v>
      </c>
      <c r="J101" s="44">
        <v>3.7</v>
      </c>
      <c r="K101" s="44">
        <v>3.6</v>
      </c>
      <c r="L101" s="44">
        <v>3.6</v>
      </c>
      <c r="M101" s="44">
        <v>3.6</v>
      </c>
      <c r="N101" s="44">
        <v>3.5</v>
      </c>
      <c r="O101" s="18" t="s">
        <v>15</v>
      </c>
      <c r="P101" s="12" t="s">
        <v>933</v>
      </c>
    </row>
    <row r="102" spans="1:16" ht="15.6" x14ac:dyDescent="0.3">
      <c r="A102" s="49" t="s">
        <v>716</v>
      </c>
      <c r="B102" s="198" t="s">
        <v>84</v>
      </c>
      <c r="C102" s="44">
        <v>21.5</v>
      </c>
      <c r="D102" s="44">
        <v>22.4</v>
      </c>
      <c r="E102" s="44">
        <v>23.1</v>
      </c>
      <c r="F102" s="44">
        <v>24.1</v>
      </c>
      <c r="G102" s="44">
        <v>24.7</v>
      </c>
      <c r="H102" s="44">
        <v>25.1</v>
      </c>
      <c r="I102" s="44">
        <v>26.1</v>
      </c>
      <c r="J102" s="44">
        <v>27.1</v>
      </c>
      <c r="K102" s="44">
        <v>27.8</v>
      </c>
      <c r="L102" s="44">
        <v>29.5</v>
      </c>
      <c r="M102" s="44">
        <v>29.8</v>
      </c>
      <c r="N102" s="44">
        <v>30.2</v>
      </c>
      <c r="O102" s="18" t="s">
        <v>15</v>
      </c>
      <c r="P102" s="12" t="s">
        <v>933</v>
      </c>
    </row>
    <row r="103" spans="1:16" ht="15.6" x14ac:dyDescent="0.3">
      <c r="A103" s="49" t="s">
        <v>717</v>
      </c>
      <c r="B103" s="198" t="s">
        <v>84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0.1</v>
      </c>
      <c r="K103" s="44">
        <v>0.1</v>
      </c>
      <c r="L103" s="44">
        <v>0.10793650793650793</v>
      </c>
      <c r="M103" s="44">
        <v>0.1</v>
      </c>
      <c r="N103" s="44">
        <v>0.1</v>
      </c>
      <c r="O103" s="18" t="s">
        <v>15</v>
      </c>
      <c r="P103" s="12" t="s">
        <v>933</v>
      </c>
    </row>
    <row r="104" spans="1:16" ht="15.6" x14ac:dyDescent="0.3">
      <c r="A104" s="131" t="s">
        <v>102</v>
      </c>
      <c r="B104" s="198" t="s">
        <v>84</v>
      </c>
      <c r="C104" s="87">
        <f>IFERROR(SUM(C101:C103)/C95,"")</f>
        <v>1</v>
      </c>
      <c r="D104" s="87">
        <f t="shared" ref="D104:N104" si="11">IFERROR(SUM(D101:D103)/D95,"")</f>
        <v>0.99999999999999989</v>
      </c>
      <c r="E104" s="87">
        <f t="shared" si="11"/>
        <v>1.0000000000000002</v>
      </c>
      <c r="F104" s="87">
        <f t="shared" si="11"/>
        <v>1</v>
      </c>
      <c r="G104" s="87">
        <f t="shared" si="11"/>
        <v>0.99999999999999989</v>
      </c>
      <c r="H104" s="87">
        <f t="shared" si="11"/>
        <v>1.0000000000000002</v>
      </c>
      <c r="I104" s="87">
        <f t="shared" si="11"/>
        <v>1.0000000000000002</v>
      </c>
      <c r="J104" s="87">
        <f t="shared" si="11"/>
        <v>1.0000000000000002</v>
      </c>
      <c r="K104" s="87">
        <f t="shared" si="11"/>
        <v>1.0000000000000002</v>
      </c>
      <c r="L104" s="87">
        <f t="shared" si="11"/>
        <v>1.0002390514438706</v>
      </c>
      <c r="M104" s="87">
        <f t="shared" si="11"/>
        <v>1</v>
      </c>
      <c r="N104" s="87">
        <f t="shared" si="11"/>
        <v>1.0000000000000002</v>
      </c>
      <c r="O104" s="105"/>
      <c r="P104" s="96"/>
    </row>
    <row r="105" spans="1:16" ht="15.6" x14ac:dyDescent="0.3">
      <c r="A105" s="143"/>
      <c r="B105" s="99" t="s">
        <v>103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05"/>
      <c r="P105" s="96"/>
    </row>
    <row r="106" spans="1:16" ht="15.6" x14ac:dyDescent="0.3">
      <c r="A106" s="133" t="s">
        <v>718</v>
      </c>
      <c r="B106" s="96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05"/>
      <c r="P106" s="96"/>
    </row>
    <row r="107" spans="1:16" ht="15.6" x14ac:dyDescent="0.3">
      <c r="A107" s="133" t="s">
        <v>719</v>
      </c>
      <c r="B107" s="197" t="s">
        <v>84</v>
      </c>
      <c r="C107" s="106">
        <v>0.30000000000000004</v>
      </c>
      <c r="D107" s="106">
        <v>0.7</v>
      </c>
      <c r="E107" s="106">
        <v>0.7</v>
      </c>
      <c r="F107" s="106">
        <v>0.8</v>
      </c>
      <c r="G107" s="106">
        <v>0.7</v>
      </c>
      <c r="H107" s="106">
        <v>0.7</v>
      </c>
      <c r="I107" s="106">
        <v>0.8</v>
      </c>
      <c r="J107" s="106">
        <v>1</v>
      </c>
      <c r="K107" s="106">
        <v>1.1000000000000001</v>
      </c>
      <c r="L107" s="106">
        <v>1</v>
      </c>
      <c r="M107" s="106">
        <v>0.5</v>
      </c>
      <c r="N107" s="106">
        <v>0.7</v>
      </c>
      <c r="O107" s="18" t="s">
        <v>15</v>
      </c>
      <c r="P107" s="12" t="s">
        <v>933</v>
      </c>
    </row>
    <row r="108" spans="1:16" ht="15.6" x14ac:dyDescent="0.3">
      <c r="A108" s="49" t="s">
        <v>720</v>
      </c>
      <c r="B108" s="198" t="s">
        <v>84</v>
      </c>
      <c r="C108" s="44">
        <v>0.1</v>
      </c>
      <c r="D108" s="44">
        <v>0.4</v>
      </c>
      <c r="E108" s="44">
        <v>0.4</v>
      </c>
      <c r="F108" s="44">
        <v>0.4</v>
      </c>
      <c r="G108" s="44">
        <v>0.4</v>
      </c>
      <c r="H108" s="44">
        <v>0.4</v>
      </c>
      <c r="I108" s="44">
        <v>0.5</v>
      </c>
      <c r="J108" s="44">
        <v>0.6</v>
      </c>
      <c r="K108" s="44">
        <v>0.6</v>
      </c>
      <c r="L108" s="44">
        <v>0.5</v>
      </c>
      <c r="M108" s="44">
        <v>0.2</v>
      </c>
      <c r="N108" s="44">
        <v>0.3</v>
      </c>
      <c r="O108" s="18" t="s">
        <v>648</v>
      </c>
      <c r="P108" s="12" t="s">
        <v>933</v>
      </c>
    </row>
    <row r="109" spans="1:16" ht="15.6" x14ac:dyDescent="0.3">
      <c r="A109" s="49" t="s">
        <v>721</v>
      </c>
      <c r="B109" s="198" t="s">
        <v>84</v>
      </c>
      <c r="C109" s="44">
        <v>0.2</v>
      </c>
      <c r="D109" s="44">
        <v>0.3</v>
      </c>
      <c r="E109" s="44">
        <v>0.3</v>
      </c>
      <c r="F109" s="44">
        <v>0.4</v>
      </c>
      <c r="G109" s="44">
        <v>0.3</v>
      </c>
      <c r="H109" s="44">
        <v>0.3</v>
      </c>
      <c r="I109" s="44">
        <v>0.3</v>
      </c>
      <c r="J109" s="44">
        <v>0.4</v>
      </c>
      <c r="K109" s="44">
        <v>0.5</v>
      </c>
      <c r="L109" s="44">
        <v>0.5</v>
      </c>
      <c r="M109" s="44">
        <v>0.3</v>
      </c>
      <c r="N109" s="44">
        <v>0.4</v>
      </c>
      <c r="O109" s="18" t="s">
        <v>15</v>
      </c>
      <c r="P109" s="12" t="s">
        <v>933</v>
      </c>
    </row>
    <row r="110" spans="1:16" ht="15.6" x14ac:dyDescent="0.3">
      <c r="A110" s="49" t="s">
        <v>722</v>
      </c>
      <c r="B110" s="198" t="s">
        <v>84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18" t="s">
        <v>15</v>
      </c>
      <c r="P110" s="12" t="s">
        <v>933</v>
      </c>
    </row>
    <row r="111" spans="1:16" ht="15.6" x14ac:dyDescent="0.3">
      <c r="A111" s="131" t="s">
        <v>102</v>
      </c>
      <c r="B111" s="99" t="s">
        <v>103</v>
      </c>
      <c r="C111" s="87">
        <f>IFERROR(SUM(C108:C110)/C107,"")</f>
        <v>1</v>
      </c>
      <c r="D111" s="87">
        <f t="shared" ref="D111:N111" si="12">IFERROR(SUM(D108:D110)/D107,"")</f>
        <v>1</v>
      </c>
      <c r="E111" s="87">
        <f t="shared" si="12"/>
        <v>1</v>
      </c>
      <c r="F111" s="87">
        <f t="shared" si="12"/>
        <v>1</v>
      </c>
      <c r="G111" s="87">
        <f t="shared" si="12"/>
        <v>1</v>
      </c>
      <c r="H111" s="87">
        <f t="shared" si="12"/>
        <v>1</v>
      </c>
      <c r="I111" s="87">
        <f t="shared" si="12"/>
        <v>1</v>
      </c>
      <c r="J111" s="87">
        <f t="shared" si="12"/>
        <v>1</v>
      </c>
      <c r="K111" s="87">
        <f t="shared" si="12"/>
        <v>1</v>
      </c>
      <c r="L111" s="87">
        <f t="shared" si="12"/>
        <v>1</v>
      </c>
      <c r="M111" s="87">
        <f t="shared" si="12"/>
        <v>1</v>
      </c>
      <c r="N111" s="87">
        <f t="shared" si="12"/>
        <v>1</v>
      </c>
      <c r="O111" s="102"/>
      <c r="P111" s="96"/>
    </row>
    <row r="112" spans="1:16" ht="15.6" x14ac:dyDescent="0.3">
      <c r="A112" s="96"/>
      <c r="B112" s="99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2"/>
      <c r="P112" s="96"/>
    </row>
    <row r="113" spans="1:16" ht="15.6" x14ac:dyDescent="0.3">
      <c r="A113" s="49" t="s">
        <v>937</v>
      </c>
      <c r="B113" s="197" t="s">
        <v>84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18" t="s">
        <v>15</v>
      </c>
      <c r="P113" s="12" t="s">
        <v>933</v>
      </c>
    </row>
    <row r="114" spans="1:16" ht="15.6" x14ac:dyDescent="0.3">
      <c r="A114" s="49" t="s">
        <v>724</v>
      </c>
      <c r="B114" s="198" t="s">
        <v>84</v>
      </c>
      <c r="C114" s="44">
        <v>0.3</v>
      </c>
      <c r="D114" s="44">
        <v>0.7</v>
      </c>
      <c r="E114" s="44">
        <v>0.7</v>
      </c>
      <c r="F114" s="44">
        <v>0.8</v>
      </c>
      <c r="G114" s="44">
        <v>0.7</v>
      </c>
      <c r="H114" s="44">
        <v>0.7</v>
      </c>
      <c r="I114" s="44">
        <v>0.8</v>
      </c>
      <c r="J114" s="44">
        <v>1</v>
      </c>
      <c r="K114" s="44">
        <v>1.1000000000000001</v>
      </c>
      <c r="L114" s="44">
        <v>0.97</v>
      </c>
      <c r="M114" s="44">
        <v>0.5</v>
      </c>
      <c r="N114" s="44">
        <v>0.7</v>
      </c>
      <c r="O114" s="18" t="s">
        <v>15</v>
      </c>
      <c r="P114" s="12" t="s">
        <v>933</v>
      </c>
    </row>
    <row r="115" spans="1:16" ht="15.6" x14ac:dyDescent="0.3">
      <c r="A115" s="49" t="s">
        <v>725</v>
      </c>
      <c r="B115" s="198" t="s">
        <v>84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0.03</v>
      </c>
      <c r="M115" s="44">
        <v>0</v>
      </c>
      <c r="N115" s="44">
        <v>0</v>
      </c>
      <c r="O115" s="18" t="s">
        <v>15</v>
      </c>
      <c r="P115" s="12" t="s">
        <v>933</v>
      </c>
    </row>
    <row r="116" spans="1:16" ht="15.6" x14ac:dyDescent="0.3">
      <c r="A116" s="131" t="s">
        <v>102</v>
      </c>
      <c r="B116" s="99" t="s">
        <v>103</v>
      </c>
      <c r="C116" s="87">
        <f>IFERROR(SUM(C113:C115)/C107,"")</f>
        <v>0.99999999999999978</v>
      </c>
      <c r="D116" s="87">
        <f t="shared" ref="D116:N116" si="13">IFERROR(SUM(D113:D115)/D107,"")</f>
        <v>1</v>
      </c>
      <c r="E116" s="87">
        <f t="shared" si="13"/>
        <v>1</v>
      </c>
      <c r="F116" s="87">
        <f t="shared" si="13"/>
        <v>1</v>
      </c>
      <c r="G116" s="87">
        <f t="shared" si="13"/>
        <v>1</v>
      </c>
      <c r="H116" s="87">
        <f t="shared" si="13"/>
        <v>1</v>
      </c>
      <c r="I116" s="87">
        <f t="shared" si="13"/>
        <v>1</v>
      </c>
      <c r="J116" s="87">
        <f t="shared" si="13"/>
        <v>1</v>
      </c>
      <c r="K116" s="87">
        <f t="shared" si="13"/>
        <v>1</v>
      </c>
      <c r="L116" s="87">
        <f t="shared" si="13"/>
        <v>1</v>
      </c>
      <c r="M116" s="87">
        <f t="shared" si="13"/>
        <v>1</v>
      </c>
      <c r="N116" s="87">
        <f t="shared" si="13"/>
        <v>1</v>
      </c>
      <c r="O116" s="105"/>
      <c r="P116" s="96"/>
    </row>
    <row r="117" spans="1:16" ht="15.6" x14ac:dyDescent="0.3">
      <c r="A117" s="96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ht="15.6" x14ac:dyDescent="0.3">
      <c r="A118" s="8" t="s">
        <v>726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16" ht="15.6" x14ac:dyDescent="0.3">
      <c r="A119" s="143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ht="15.6" x14ac:dyDescent="0.3">
      <c r="A120" s="133" t="s">
        <v>727</v>
      </c>
      <c r="B120" s="197" t="s">
        <v>84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ht="15.6" x14ac:dyDescent="0.3">
      <c r="A121" s="133" t="s">
        <v>728</v>
      </c>
      <c r="B121" s="198" t="s">
        <v>84</v>
      </c>
      <c r="C121" s="106">
        <v>81.22</v>
      </c>
      <c r="D121" s="106">
        <v>84.3</v>
      </c>
      <c r="E121" s="106">
        <v>88</v>
      </c>
      <c r="F121" s="106">
        <v>92.199999999999989</v>
      </c>
      <c r="G121" s="106">
        <v>96.6</v>
      </c>
      <c r="H121" s="106">
        <v>101.69999999999999</v>
      </c>
      <c r="I121" s="106">
        <v>108.16000000000001</v>
      </c>
      <c r="J121" s="106">
        <v>114.8</v>
      </c>
      <c r="K121" s="106">
        <v>121.6</v>
      </c>
      <c r="L121" s="106">
        <v>131.1</v>
      </c>
      <c r="M121" s="106">
        <v>135.4</v>
      </c>
      <c r="N121" s="106">
        <v>140.1</v>
      </c>
      <c r="O121" s="18" t="s">
        <v>648</v>
      </c>
      <c r="P121" s="12" t="s">
        <v>933</v>
      </c>
    </row>
    <row r="122" spans="1:16" ht="15.6" x14ac:dyDescent="0.3">
      <c r="A122" s="49" t="s">
        <v>729</v>
      </c>
      <c r="B122" s="198" t="s">
        <v>84</v>
      </c>
      <c r="C122" s="44">
        <v>18.7</v>
      </c>
      <c r="D122" s="44">
        <v>18.7</v>
      </c>
      <c r="E122" s="44">
        <v>18.600000000000001</v>
      </c>
      <c r="F122" s="44">
        <v>18.399999999999999</v>
      </c>
      <c r="G122" s="44">
        <v>18.3</v>
      </c>
      <c r="H122" s="44">
        <v>18.5</v>
      </c>
      <c r="I122" s="44">
        <v>18.8</v>
      </c>
      <c r="J122" s="44">
        <v>19</v>
      </c>
      <c r="K122" s="44">
        <v>19.3</v>
      </c>
      <c r="L122" s="44">
        <v>20</v>
      </c>
      <c r="M122" s="44">
        <v>20.200000000000003</v>
      </c>
      <c r="N122" s="44">
        <v>20</v>
      </c>
      <c r="O122" s="18" t="s">
        <v>648</v>
      </c>
      <c r="P122" s="12" t="s">
        <v>933</v>
      </c>
    </row>
    <row r="123" spans="1:16" ht="15.6" x14ac:dyDescent="0.3">
      <c r="A123" s="49" t="s">
        <v>730</v>
      </c>
      <c r="B123" s="198" t="s">
        <v>84</v>
      </c>
      <c r="C123" s="44">
        <v>62.5</v>
      </c>
      <c r="D123" s="44">
        <v>65.599999999999994</v>
      </c>
      <c r="E123" s="44">
        <v>69.400000000000006</v>
      </c>
      <c r="F123" s="44">
        <v>73.7</v>
      </c>
      <c r="G123" s="44">
        <v>78.2</v>
      </c>
      <c r="H123" s="44">
        <v>83.1</v>
      </c>
      <c r="I123" s="44">
        <v>89.240000000000009</v>
      </c>
      <c r="J123" s="44">
        <v>95.5</v>
      </c>
      <c r="K123" s="44">
        <v>102</v>
      </c>
      <c r="L123" s="44">
        <v>110.7</v>
      </c>
      <c r="M123" s="44">
        <v>114.7</v>
      </c>
      <c r="N123" s="44">
        <v>119.5</v>
      </c>
      <c r="O123" s="18" t="s">
        <v>15</v>
      </c>
      <c r="P123" s="12" t="s">
        <v>933</v>
      </c>
    </row>
    <row r="124" spans="1:16" ht="15.6" x14ac:dyDescent="0.3">
      <c r="A124" s="49" t="s">
        <v>731</v>
      </c>
      <c r="B124" s="198" t="s">
        <v>84</v>
      </c>
      <c r="C124" s="44">
        <v>0.02</v>
      </c>
      <c r="D124" s="44">
        <v>0</v>
      </c>
      <c r="E124" s="44">
        <v>0</v>
      </c>
      <c r="F124" s="44">
        <v>0.1</v>
      </c>
      <c r="G124" s="44">
        <v>0.1</v>
      </c>
      <c r="H124" s="44">
        <v>0.1</v>
      </c>
      <c r="I124" s="44">
        <v>0.12</v>
      </c>
      <c r="J124" s="44">
        <v>0.3</v>
      </c>
      <c r="K124" s="44">
        <v>0.3</v>
      </c>
      <c r="L124" s="44">
        <v>0.4</v>
      </c>
      <c r="M124" s="44">
        <v>0.5</v>
      </c>
      <c r="N124" s="44">
        <v>0.6</v>
      </c>
      <c r="O124" s="18" t="s">
        <v>15</v>
      </c>
      <c r="P124" s="12" t="s">
        <v>933</v>
      </c>
    </row>
    <row r="125" spans="1:16" ht="15.6" x14ac:dyDescent="0.3">
      <c r="A125" s="131" t="s">
        <v>102</v>
      </c>
      <c r="B125" s="99" t="s">
        <v>103</v>
      </c>
      <c r="C125" s="87">
        <f>IFERROR(SUM(C122:C124)/C121,"")</f>
        <v>1</v>
      </c>
      <c r="D125" s="87">
        <f t="shared" ref="D125:N125" si="14">IFERROR(SUM(D122:D124)/D121,"")</f>
        <v>1</v>
      </c>
      <c r="E125" s="87">
        <f t="shared" si="14"/>
        <v>1</v>
      </c>
      <c r="F125" s="87">
        <f t="shared" si="14"/>
        <v>1</v>
      </c>
      <c r="G125" s="87">
        <f t="shared" si="14"/>
        <v>1</v>
      </c>
      <c r="H125" s="87">
        <f t="shared" si="14"/>
        <v>1</v>
      </c>
      <c r="I125" s="87">
        <f t="shared" si="14"/>
        <v>1</v>
      </c>
      <c r="J125" s="87">
        <f t="shared" si="14"/>
        <v>1</v>
      </c>
      <c r="K125" s="87">
        <f t="shared" si="14"/>
        <v>1</v>
      </c>
      <c r="L125" s="87">
        <f t="shared" si="14"/>
        <v>1</v>
      </c>
      <c r="M125" s="87">
        <f t="shared" si="14"/>
        <v>1</v>
      </c>
      <c r="N125" s="87">
        <f t="shared" si="14"/>
        <v>1</v>
      </c>
      <c r="O125" s="105"/>
      <c r="P125" s="99"/>
    </row>
    <row r="126" spans="1:16" x14ac:dyDescent="0.3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1:16" x14ac:dyDescent="0.3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1:16" ht="18" x14ac:dyDescent="0.3">
      <c r="A128" s="2" t="s">
        <v>732</v>
      </c>
      <c r="B128" s="2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143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1:16" ht="15.6" x14ac:dyDescent="0.3">
      <c r="A130" s="49" t="s">
        <v>733</v>
      </c>
      <c r="B130" s="198" t="s">
        <v>734</v>
      </c>
      <c r="C130" s="17">
        <v>15265.530756761473</v>
      </c>
      <c r="D130" s="17">
        <v>14737.634671667071</v>
      </c>
      <c r="E130" s="17">
        <v>14633.162703753917</v>
      </c>
      <c r="F130" s="17">
        <v>14411.493817544295</v>
      </c>
      <c r="G130" s="17">
        <v>14384.929883369694</v>
      </c>
      <c r="H130" s="17">
        <v>13754.557046512076</v>
      </c>
      <c r="I130" s="17">
        <v>13604.383766025901</v>
      </c>
      <c r="J130" s="17">
        <v>13662.298665058064</v>
      </c>
      <c r="K130" s="17">
        <v>14335.259965198455</v>
      </c>
      <c r="L130" s="17">
        <v>13534.457892076063</v>
      </c>
      <c r="M130" s="17">
        <v>12986.723342963187</v>
      </c>
      <c r="N130" s="145"/>
      <c r="O130" s="18" t="s">
        <v>20</v>
      </c>
      <c r="P130" s="18" t="s">
        <v>938</v>
      </c>
    </row>
    <row r="131" spans="1:16" ht="15.6" x14ac:dyDescent="0.3">
      <c r="A131" s="49" t="s">
        <v>736</v>
      </c>
      <c r="B131" s="200" t="s">
        <v>734</v>
      </c>
      <c r="C131" s="17">
        <v>13286.519198629441</v>
      </c>
      <c r="D131" s="17">
        <v>12293.432702986507</v>
      </c>
      <c r="E131" s="17">
        <v>11882.657651477004</v>
      </c>
      <c r="F131" s="17">
        <v>11539.936939856821</v>
      </c>
      <c r="G131" s="17">
        <v>11851.811259042279</v>
      </c>
      <c r="H131" s="17">
        <v>10775.514812148876</v>
      </c>
      <c r="I131" s="17">
        <v>10967.08539175548</v>
      </c>
      <c r="J131" s="17">
        <v>11396.070201293274</v>
      </c>
      <c r="K131" s="17">
        <v>12199.557411730628</v>
      </c>
      <c r="L131" s="17">
        <v>11886.30563531283</v>
      </c>
      <c r="M131" s="17">
        <v>9596.8158808561529</v>
      </c>
      <c r="N131" s="145"/>
      <c r="O131" s="18" t="s">
        <v>20</v>
      </c>
      <c r="P131" s="12" t="s">
        <v>933</v>
      </c>
    </row>
    <row r="132" spans="1:16" ht="15.6" x14ac:dyDescent="0.3">
      <c r="A132" s="49" t="s">
        <v>738</v>
      </c>
      <c r="B132" s="200" t="s">
        <v>734</v>
      </c>
      <c r="C132" s="17">
        <v>20516.878942426105</v>
      </c>
      <c r="D132" s="17">
        <v>20502.915787050963</v>
      </c>
      <c r="E132" s="17">
        <v>20120.389540005654</v>
      </c>
      <c r="F132" s="17">
        <v>19265.300022856038</v>
      </c>
      <c r="G132" s="17">
        <v>18239.5424833939</v>
      </c>
      <c r="H132" s="17">
        <v>18012.604841196124</v>
      </c>
      <c r="I132" s="17">
        <v>17144.441537520648</v>
      </c>
      <c r="J132" s="17">
        <v>16537.004827762434</v>
      </c>
      <c r="K132" s="17">
        <v>16711.442076915544</v>
      </c>
      <c r="L132" s="17">
        <v>15240.413575095425</v>
      </c>
      <c r="M132" s="17">
        <v>16390.02832036206</v>
      </c>
      <c r="N132" s="145"/>
      <c r="O132" s="18" t="s">
        <v>20</v>
      </c>
      <c r="P132" s="12" t="s">
        <v>933</v>
      </c>
    </row>
    <row r="133" spans="1:16" ht="15.6" x14ac:dyDescent="0.3">
      <c r="A133" s="49" t="s">
        <v>739</v>
      </c>
      <c r="B133" s="198" t="s">
        <v>734</v>
      </c>
      <c r="C133" s="17">
        <v>3645.0294401359361</v>
      </c>
      <c r="D133" s="17">
        <v>2839.3531981499768</v>
      </c>
      <c r="E133" s="17">
        <v>2572.6585818253229</v>
      </c>
      <c r="F133" s="17">
        <v>2135.622964054407</v>
      </c>
      <c r="G133" s="17">
        <v>2300.4683403801791</v>
      </c>
      <c r="H133" s="17">
        <v>2107.8658892235426</v>
      </c>
      <c r="I133" s="17">
        <v>2026.7058249858903</v>
      </c>
      <c r="J133" s="17">
        <v>1988.5083166523104</v>
      </c>
      <c r="K133" s="17">
        <v>2146.5951772390999</v>
      </c>
      <c r="L133" s="17">
        <v>1534.8671574000759</v>
      </c>
      <c r="M133" s="17">
        <v>1204.0059114652488</v>
      </c>
      <c r="N133" s="145"/>
      <c r="O133" s="18" t="s">
        <v>20</v>
      </c>
      <c r="P133" s="12" t="s">
        <v>933</v>
      </c>
    </row>
    <row r="134" spans="1:16" ht="15.6" x14ac:dyDescent="0.3">
      <c r="A134" s="49" t="s">
        <v>740</v>
      </c>
      <c r="B134" s="198" t="s">
        <v>734</v>
      </c>
      <c r="C134" s="17">
        <v>20818.086550266871</v>
      </c>
      <c r="D134" s="17">
        <v>21150.474832734486</v>
      </c>
      <c r="E134" s="17">
        <v>21681.551991981825</v>
      </c>
      <c r="F134" s="17">
        <v>20367.621657368665</v>
      </c>
      <c r="G134" s="17">
        <v>19918.679411392372</v>
      </c>
      <c r="H134" s="17">
        <v>19250.179990818378</v>
      </c>
      <c r="I134" s="17">
        <v>17212.025375610167</v>
      </c>
      <c r="J134" s="17">
        <v>17288.606427550611</v>
      </c>
      <c r="K134" s="17">
        <v>18356.577995429452</v>
      </c>
      <c r="L134" s="17">
        <v>17011.927416417129</v>
      </c>
      <c r="M134" s="17">
        <v>16396.714710941957</v>
      </c>
      <c r="N134" s="145"/>
      <c r="O134" s="18" t="s">
        <v>20</v>
      </c>
      <c r="P134" s="12" t="s">
        <v>933</v>
      </c>
    </row>
    <row r="135" spans="1:16" ht="15.6" x14ac:dyDescent="0.3">
      <c r="A135" s="49" t="s">
        <v>741</v>
      </c>
      <c r="B135" s="198" t="s">
        <v>734</v>
      </c>
      <c r="C135" s="17">
        <v>45551.687561006256</v>
      </c>
      <c r="D135" s="17">
        <v>49468.055726880135</v>
      </c>
      <c r="E135" s="17">
        <v>48258.323075068547</v>
      </c>
      <c r="F135" s="17">
        <v>46866.273291279431</v>
      </c>
      <c r="G135" s="17">
        <v>45592.440543725737</v>
      </c>
      <c r="H135" s="17">
        <v>46799.316613590832</v>
      </c>
      <c r="I135" s="17">
        <v>40420.505897216302</v>
      </c>
      <c r="J135" s="17">
        <v>40727.96529767364</v>
      </c>
      <c r="K135" s="17">
        <v>42777.46667044895</v>
      </c>
      <c r="L135" s="17">
        <v>41837.296298388435</v>
      </c>
      <c r="M135" s="17">
        <v>38967.921812695095</v>
      </c>
      <c r="N135" s="145"/>
      <c r="O135" s="18" t="s">
        <v>20</v>
      </c>
      <c r="P135" s="12" t="s">
        <v>933</v>
      </c>
    </row>
    <row r="136" spans="1:16" ht="15.6" x14ac:dyDescent="0.3">
      <c r="A136" s="49" t="s">
        <v>742</v>
      </c>
      <c r="B136" s="198" t="s">
        <v>734</v>
      </c>
      <c r="C136" s="17">
        <v>34648.980016674017</v>
      </c>
      <c r="D136" s="17">
        <v>36568.474104966037</v>
      </c>
      <c r="E136" s="17">
        <v>36838.922413664259</v>
      </c>
      <c r="F136" s="17">
        <v>32195.884861810075</v>
      </c>
      <c r="G136" s="17">
        <v>30859.176397099924</v>
      </c>
      <c r="H136" s="17">
        <v>29200.581037809356</v>
      </c>
      <c r="I136" s="17">
        <v>26062.124446837432</v>
      </c>
      <c r="J136" s="17">
        <v>25596.474577504297</v>
      </c>
      <c r="K136" s="17">
        <v>26762.022959836719</v>
      </c>
      <c r="L136" s="17">
        <v>22597.235743023066</v>
      </c>
      <c r="M136" s="17">
        <v>20801.789932049276</v>
      </c>
      <c r="N136" s="145"/>
      <c r="O136" s="18" t="s">
        <v>20</v>
      </c>
      <c r="P136" s="12" t="s">
        <v>933</v>
      </c>
    </row>
    <row r="137" spans="1:16" ht="15.6" x14ac:dyDescent="0.3">
      <c r="A137" s="49" t="s">
        <v>743</v>
      </c>
      <c r="B137" s="198" t="s">
        <v>734</v>
      </c>
      <c r="C137" s="17">
        <v>26275.614769995507</v>
      </c>
      <c r="D137" s="17">
        <v>27131.638270947205</v>
      </c>
      <c r="E137" s="17">
        <v>27421.406937391916</v>
      </c>
      <c r="F137" s="17">
        <v>24780.534397251158</v>
      </c>
      <c r="G137" s="17">
        <v>23866.258417567024</v>
      </c>
      <c r="H137" s="17">
        <v>22988.22975649987</v>
      </c>
      <c r="I137" s="17">
        <v>19992.643442056426</v>
      </c>
      <c r="J137" s="17">
        <v>19783.87133588958</v>
      </c>
      <c r="K137" s="17">
        <v>20629.775001909067</v>
      </c>
      <c r="L137" s="17">
        <v>18551.616204422811</v>
      </c>
      <c r="M137" s="17">
        <v>17559.66102257945</v>
      </c>
      <c r="N137" s="145"/>
      <c r="O137" s="18" t="s">
        <v>20</v>
      </c>
      <c r="P137" s="12" t="s">
        <v>933</v>
      </c>
    </row>
    <row r="138" spans="1:16" x14ac:dyDescent="0.3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1:16" ht="18" x14ac:dyDescent="0.3">
      <c r="A139" s="2" t="s">
        <v>744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143"/>
      <c r="B140" s="131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1:16" ht="15.6" x14ac:dyDescent="0.3">
      <c r="A141" s="8" t="s">
        <v>745</v>
      </c>
      <c r="B141" s="131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1:16" x14ac:dyDescent="0.3">
      <c r="A142" s="143"/>
      <c r="B142" s="131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1:16" x14ac:dyDescent="0.3">
      <c r="A143" s="133" t="s">
        <v>746</v>
      </c>
      <c r="B143" s="131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1:16" ht="15.6" x14ac:dyDescent="0.3">
      <c r="A144" s="49" t="s">
        <v>747</v>
      </c>
      <c r="B144" s="198" t="s">
        <v>748</v>
      </c>
      <c r="C144" s="17">
        <v>10100</v>
      </c>
      <c r="D144" s="17">
        <v>10381.082222547919</v>
      </c>
      <c r="E144" s="17">
        <v>10808.595077153128</v>
      </c>
      <c r="F144" s="17">
        <v>11246.133322496951</v>
      </c>
      <c r="G144" s="17">
        <v>11852.001342412781</v>
      </c>
      <c r="H144" s="17">
        <v>12331.94848698124</v>
      </c>
      <c r="I144" s="17">
        <v>12840.848785603474</v>
      </c>
      <c r="J144" s="17">
        <v>13081</v>
      </c>
      <c r="K144" s="17">
        <v>13300</v>
      </c>
      <c r="L144" s="17">
        <v>14100</v>
      </c>
      <c r="M144" s="17">
        <v>12400</v>
      </c>
      <c r="N144" s="17">
        <v>12100</v>
      </c>
      <c r="O144" s="18" t="s">
        <v>45</v>
      </c>
      <c r="P144" s="18" t="s">
        <v>749</v>
      </c>
    </row>
    <row r="145" spans="1:16" ht="15.6" x14ac:dyDescent="0.3">
      <c r="A145" s="49" t="s">
        <v>750</v>
      </c>
      <c r="B145" s="198" t="s">
        <v>748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46"/>
      <c r="M145" s="146"/>
      <c r="N145" s="146"/>
      <c r="O145" s="18"/>
      <c r="P145" s="143"/>
    </row>
    <row r="146" spans="1:16" ht="15.6" x14ac:dyDescent="0.3">
      <c r="A146" s="49" t="s">
        <v>751</v>
      </c>
      <c r="B146" s="198" t="s">
        <v>748</v>
      </c>
      <c r="C146" s="17">
        <v>2061.0592999999999</v>
      </c>
      <c r="D146" s="17">
        <v>2070.6943000000001</v>
      </c>
      <c r="E146" s="17">
        <v>2233.5884999999998</v>
      </c>
      <c r="F146" s="17">
        <v>2414.6147999999998</v>
      </c>
      <c r="G146" s="17">
        <v>2392.6965</v>
      </c>
      <c r="H146" s="17">
        <v>3146</v>
      </c>
      <c r="I146" s="17">
        <v>2864.7496999999998</v>
      </c>
      <c r="J146" s="17">
        <v>2808.66</v>
      </c>
      <c r="K146" s="17">
        <v>2787.116</v>
      </c>
      <c r="L146" s="17">
        <v>3099.3148999999999</v>
      </c>
      <c r="M146" s="17">
        <v>1557.3477</v>
      </c>
      <c r="N146" s="17">
        <v>1391.5453</v>
      </c>
      <c r="O146" s="18" t="s">
        <v>8</v>
      </c>
      <c r="P146" s="18" t="s">
        <v>752</v>
      </c>
    </row>
    <row r="147" spans="1:16" ht="15.6" x14ac:dyDescent="0.3">
      <c r="A147" s="49" t="s">
        <v>753</v>
      </c>
      <c r="B147" s="198" t="s">
        <v>748</v>
      </c>
      <c r="C147" s="17">
        <v>319.7466</v>
      </c>
      <c r="D147" s="17">
        <v>307.84800000000001</v>
      </c>
      <c r="E147" s="17">
        <v>328.22219999999999</v>
      </c>
      <c r="F147" s="17">
        <v>298.76389999999998</v>
      </c>
      <c r="G147" s="17">
        <v>338.51819999999998</v>
      </c>
      <c r="H147" s="17">
        <v>343.83140000000003</v>
      </c>
      <c r="I147" s="17">
        <v>372.68670000000003</v>
      </c>
      <c r="J147" s="17">
        <v>365.6053</v>
      </c>
      <c r="K147" s="17">
        <v>500.738</v>
      </c>
      <c r="L147" s="17">
        <v>479.03629999999998</v>
      </c>
      <c r="M147" s="17">
        <v>313.25299999999999</v>
      </c>
      <c r="N147" s="17">
        <v>290.36799999999999</v>
      </c>
      <c r="O147" s="18" t="s">
        <v>8</v>
      </c>
      <c r="P147" s="18" t="s">
        <v>754</v>
      </c>
    </row>
    <row r="148" spans="1:16" ht="15.6" x14ac:dyDescent="0.3">
      <c r="A148" s="49" t="s">
        <v>755</v>
      </c>
      <c r="B148" s="198" t="s">
        <v>748</v>
      </c>
      <c r="C148" s="147">
        <v>247.9</v>
      </c>
      <c r="D148" s="147">
        <v>243</v>
      </c>
      <c r="E148" s="147">
        <v>235.821</v>
      </c>
      <c r="F148" s="147">
        <v>223</v>
      </c>
      <c r="G148" s="147">
        <v>280</v>
      </c>
      <c r="H148" s="147">
        <v>288.685</v>
      </c>
      <c r="I148" s="147">
        <v>315.65300000000002</v>
      </c>
      <c r="J148" s="147">
        <v>306</v>
      </c>
      <c r="K148" s="147">
        <v>416.846</v>
      </c>
      <c r="L148" s="147">
        <v>391.68799999999999</v>
      </c>
      <c r="M148" s="147">
        <v>263.37299999999999</v>
      </c>
      <c r="N148" s="147">
        <v>290.36799999999999</v>
      </c>
      <c r="O148" s="18" t="s">
        <v>8</v>
      </c>
      <c r="P148" s="18" t="s">
        <v>754</v>
      </c>
    </row>
    <row r="149" spans="1:16" ht="15.6" x14ac:dyDescent="0.3">
      <c r="A149" s="49" t="s">
        <v>756</v>
      </c>
      <c r="B149" s="198" t="s">
        <v>748</v>
      </c>
      <c r="C149" s="17">
        <v>71.846600000000009</v>
      </c>
      <c r="D149" s="17">
        <v>64.847999999999999</v>
      </c>
      <c r="E149" s="17">
        <v>92.401200000000003</v>
      </c>
      <c r="F149" s="17">
        <v>75.763899999999992</v>
      </c>
      <c r="G149" s="17">
        <v>58.5182</v>
      </c>
      <c r="H149" s="17">
        <v>55.1464</v>
      </c>
      <c r="I149" s="17">
        <v>57.033699999999996</v>
      </c>
      <c r="J149" s="17">
        <v>59.6053</v>
      </c>
      <c r="K149" s="17">
        <v>83.891999999999996</v>
      </c>
      <c r="L149" s="17">
        <v>87.348300000000023</v>
      </c>
      <c r="M149" s="44">
        <v>49.88</v>
      </c>
      <c r="N149" s="44">
        <v>58</v>
      </c>
      <c r="O149" s="18" t="s">
        <v>8</v>
      </c>
      <c r="P149" s="18" t="s">
        <v>757</v>
      </c>
    </row>
    <row r="150" spans="1:16" ht="15.6" x14ac:dyDescent="0.3">
      <c r="A150" s="49" t="s">
        <v>758</v>
      </c>
      <c r="B150" s="198" t="s">
        <v>748</v>
      </c>
      <c r="C150" s="17">
        <v>32</v>
      </c>
      <c r="D150" s="17">
        <v>33.241</v>
      </c>
      <c r="E150" s="17">
        <v>30.922999999999998</v>
      </c>
      <c r="F150" s="17">
        <v>24.581</v>
      </c>
      <c r="G150" s="17">
        <v>23.256</v>
      </c>
      <c r="H150" s="17">
        <v>22.890999999999998</v>
      </c>
      <c r="I150" s="17">
        <v>20.073</v>
      </c>
      <c r="J150" s="17">
        <v>26.963000000000001</v>
      </c>
      <c r="K150" s="17">
        <v>33.057000000000002</v>
      </c>
      <c r="L150" s="17">
        <v>36.185000000000002</v>
      </c>
      <c r="M150" s="17">
        <v>26.367000000000001</v>
      </c>
      <c r="N150" s="17">
        <v>41.26</v>
      </c>
      <c r="O150" s="18" t="s">
        <v>8</v>
      </c>
      <c r="P150" s="18" t="s">
        <v>759</v>
      </c>
    </row>
    <row r="151" spans="1:16" ht="15.6" x14ac:dyDescent="0.3">
      <c r="A151" s="49" t="s">
        <v>760</v>
      </c>
      <c r="B151" s="198" t="s">
        <v>748</v>
      </c>
      <c r="C151" s="17">
        <v>0.184</v>
      </c>
      <c r="D151" s="17">
        <v>0.155</v>
      </c>
      <c r="E151" s="17">
        <v>0.14899999999999999</v>
      </c>
      <c r="F151" s="17">
        <v>0.28100000000000003</v>
      </c>
      <c r="G151" s="17">
        <v>6.0999999999999999E-2</v>
      </c>
      <c r="H151" s="17">
        <v>6.0999999999999999E-2</v>
      </c>
      <c r="I151" s="17">
        <v>6.3E-2</v>
      </c>
      <c r="J151" s="17">
        <v>0.26800000000000002</v>
      </c>
      <c r="K151" s="17">
        <v>0.3397</v>
      </c>
      <c r="L151" s="17">
        <v>0.57350000000000001</v>
      </c>
      <c r="M151" s="17">
        <v>0.46860000000000002</v>
      </c>
      <c r="N151" s="17">
        <v>0.79159999999999997</v>
      </c>
      <c r="O151" s="18" t="s">
        <v>8</v>
      </c>
      <c r="P151" s="18" t="s">
        <v>761</v>
      </c>
    </row>
    <row r="152" spans="1:16" ht="15.6" x14ac:dyDescent="0.3">
      <c r="A152" s="49" t="s">
        <v>762</v>
      </c>
      <c r="B152" s="198" t="s">
        <v>748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143"/>
    </row>
    <row r="153" spans="1:16" ht="15.6" x14ac:dyDescent="0.3">
      <c r="A153" s="143"/>
      <c r="B153" s="97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1:16" ht="15.6" x14ac:dyDescent="0.3">
      <c r="A154" s="133" t="s">
        <v>763</v>
      </c>
      <c r="B154" s="97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1:16" ht="15.6" x14ac:dyDescent="0.3">
      <c r="A155" s="49" t="s">
        <v>764</v>
      </c>
      <c r="B155" s="198" t="s">
        <v>765</v>
      </c>
      <c r="C155" s="15">
        <v>106.75210000000001</v>
      </c>
      <c r="D155" s="15">
        <v>108.1</v>
      </c>
      <c r="E155" s="15">
        <v>119.26389999999999</v>
      </c>
      <c r="F155" s="15">
        <v>148.24350000000001</v>
      </c>
      <c r="G155" s="15">
        <v>149.7851</v>
      </c>
      <c r="H155" s="15">
        <v>154.19999999999999</v>
      </c>
      <c r="I155" s="15">
        <v>155.31870000000001</v>
      </c>
      <c r="J155" s="15">
        <v>158.07</v>
      </c>
      <c r="K155" s="15">
        <v>150.19999999999999</v>
      </c>
      <c r="L155" s="15">
        <v>161.80000000000001</v>
      </c>
      <c r="M155" s="15">
        <v>109.22210000000001</v>
      </c>
      <c r="N155" s="15">
        <v>97.183199999999999</v>
      </c>
      <c r="O155" s="18" t="s">
        <v>8</v>
      </c>
      <c r="P155" s="18" t="s">
        <v>766</v>
      </c>
    </row>
    <row r="156" spans="1:16" ht="15.6" x14ac:dyDescent="0.3">
      <c r="A156" s="49" t="s">
        <v>767</v>
      </c>
      <c r="B156" s="198" t="s">
        <v>765</v>
      </c>
      <c r="C156" s="15">
        <v>4.7990000000000004</v>
      </c>
      <c r="D156" s="15">
        <v>4.7359999999999998</v>
      </c>
      <c r="E156" s="15">
        <v>4.4160000000000004</v>
      </c>
      <c r="F156" s="15">
        <v>4.2</v>
      </c>
      <c r="G156" s="15">
        <v>5.9</v>
      </c>
      <c r="H156" s="15">
        <v>6.5860000000000003</v>
      </c>
      <c r="I156" s="15">
        <v>6.92</v>
      </c>
      <c r="J156" s="15">
        <v>7.4329999999999998</v>
      </c>
      <c r="K156" s="15">
        <v>7.7590000000000003</v>
      </c>
      <c r="L156" s="15">
        <v>8.3730499999999992</v>
      </c>
      <c r="M156" s="15">
        <v>5.9847000000000001</v>
      </c>
      <c r="N156" s="15">
        <v>6.077</v>
      </c>
      <c r="O156" s="18" t="s">
        <v>8</v>
      </c>
      <c r="P156" s="18" t="s">
        <v>768</v>
      </c>
    </row>
    <row r="157" spans="1:16" ht="15.6" x14ac:dyDescent="0.3">
      <c r="A157" s="49" t="s">
        <v>769</v>
      </c>
      <c r="B157" s="198" t="s">
        <v>765</v>
      </c>
      <c r="C157" s="15">
        <v>4.8</v>
      </c>
      <c r="D157" s="15">
        <v>4.9047780000000003</v>
      </c>
      <c r="E157" s="15">
        <v>4.2135660000000001</v>
      </c>
      <c r="F157" s="15">
        <v>3.2059389999999999</v>
      </c>
      <c r="G157" s="15">
        <v>2.9145099999999999</v>
      </c>
      <c r="H157" s="15">
        <v>3.4217070000000001</v>
      </c>
      <c r="I157" s="15">
        <v>2.9866229999999998</v>
      </c>
      <c r="J157" s="15">
        <v>4.2244859999999997</v>
      </c>
      <c r="K157" s="15">
        <v>4.796449</v>
      </c>
      <c r="L157" s="15">
        <v>5.3228879999999998</v>
      </c>
      <c r="M157" s="15">
        <v>4.1539159999999997</v>
      </c>
      <c r="N157" s="15">
        <v>6.730531</v>
      </c>
      <c r="O157" s="18" t="s">
        <v>8</v>
      </c>
      <c r="P157" s="18" t="s">
        <v>770</v>
      </c>
    </row>
    <row r="158" spans="1:16" ht="15.6" x14ac:dyDescent="0.3">
      <c r="A158" s="49" t="s">
        <v>771</v>
      </c>
      <c r="B158" s="198" t="s">
        <v>765</v>
      </c>
      <c r="C158" s="15">
        <v>1.3846579999999999</v>
      </c>
      <c r="D158" s="15">
        <v>1.9106080000000001</v>
      </c>
      <c r="E158" s="15">
        <v>2.2025009999999998</v>
      </c>
      <c r="F158" s="15">
        <v>1.9586220000000001</v>
      </c>
      <c r="G158" s="15">
        <v>2.0198740000000002</v>
      </c>
      <c r="H158" s="15">
        <v>2.1623350000000001</v>
      </c>
      <c r="I158" s="15">
        <v>2.215875</v>
      </c>
      <c r="J158" s="15">
        <v>2.6369090000000002</v>
      </c>
      <c r="K158" s="15">
        <v>2.9958300000000002</v>
      </c>
      <c r="L158" s="15">
        <v>3.2583229999999999</v>
      </c>
      <c r="M158" s="15">
        <v>0.85816499999999996</v>
      </c>
      <c r="N158" s="15">
        <v>1.293115</v>
      </c>
      <c r="O158" s="18" t="s">
        <v>8</v>
      </c>
      <c r="P158" s="18" t="s">
        <v>770</v>
      </c>
    </row>
    <row r="159" spans="1:16" ht="15.6" x14ac:dyDescent="0.3">
      <c r="A159" s="49" t="s">
        <v>772</v>
      </c>
      <c r="B159" s="198" t="s">
        <v>84</v>
      </c>
      <c r="C159" s="15">
        <v>14.7</v>
      </c>
      <c r="D159" s="15">
        <v>16</v>
      </c>
      <c r="E159" s="15">
        <v>15</v>
      </c>
      <c r="F159" s="15">
        <v>17</v>
      </c>
      <c r="G159" s="15">
        <v>10.9</v>
      </c>
      <c r="H159" s="15">
        <v>10.9</v>
      </c>
      <c r="I159" s="15">
        <v>12.6</v>
      </c>
      <c r="J159" s="15">
        <v>19.2</v>
      </c>
      <c r="K159" s="15">
        <v>17.100000000000001</v>
      </c>
      <c r="L159" s="15">
        <v>28.5</v>
      </c>
      <c r="M159" s="15">
        <v>25.9</v>
      </c>
      <c r="N159" s="15">
        <v>42.7</v>
      </c>
      <c r="O159" s="18" t="s">
        <v>8</v>
      </c>
      <c r="P159" s="18" t="s">
        <v>773</v>
      </c>
    </row>
    <row r="160" spans="1:16" x14ac:dyDescent="0.3">
      <c r="A160" s="143"/>
      <c r="B160" s="2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1:16" ht="15.6" x14ac:dyDescent="0.3">
      <c r="A161" s="8" t="s">
        <v>774</v>
      </c>
      <c r="B161" s="2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1:16" x14ac:dyDescent="0.3">
      <c r="A162" s="143"/>
      <c r="B162" s="2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x14ac:dyDescent="0.3">
      <c r="A163" s="133" t="s">
        <v>775</v>
      </c>
      <c r="B163" s="195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x14ac:dyDescent="0.3">
      <c r="A164" s="49" t="s">
        <v>776</v>
      </c>
      <c r="B164" s="191" t="s">
        <v>777</v>
      </c>
      <c r="C164" s="17">
        <v>1386.6999999999998</v>
      </c>
      <c r="D164" s="17">
        <v>1560</v>
      </c>
      <c r="E164" s="17">
        <v>1599</v>
      </c>
      <c r="F164" s="17">
        <v>1592</v>
      </c>
      <c r="G164" s="17">
        <v>1525.1999999999998</v>
      </c>
      <c r="H164" s="17">
        <v>1523.2000000000007</v>
      </c>
      <c r="I164" s="17">
        <v>1792</v>
      </c>
      <c r="J164" s="17">
        <v>1631.6999999999998</v>
      </c>
      <c r="K164" s="17">
        <v>1686</v>
      </c>
      <c r="L164" s="17">
        <v>1710.1999999999998</v>
      </c>
      <c r="M164" s="17">
        <v>1272.8000000000002</v>
      </c>
      <c r="N164" s="17">
        <v>1800.1999999999998</v>
      </c>
      <c r="O164" s="18" t="s">
        <v>8</v>
      </c>
      <c r="P164" s="18" t="s">
        <v>778</v>
      </c>
    </row>
    <row r="165" spans="1:16" x14ac:dyDescent="0.3">
      <c r="A165" s="49" t="s">
        <v>779</v>
      </c>
      <c r="B165" s="191" t="s">
        <v>777</v>
      </c>
      <c r="C165" s="17">
        <v>6642.3140999999996</v>
      </c>
      <c r="D165" s="17">
        <v>6260.5868</v>
      </c>
      <c r="E165" s="17">
        <v>5126.3995999999997</v>
      </c>
      <c r="F165" s="17">
        <v>4721.5582000000004</v>
      </c>
      <c r="G165" s="17">
        <v>3255.8427999999999</v>
      </c>
      <c r="H165" s="17">
        <v>3114.0661</v>
      </c>
      <c r="I165" s="17">
        <v>2339.1641</v>
      </c>
      <c r="J165" s="17">
        <v>2324.9625000000001</v>
      </c>
      <c r="K165" s="17">
        <v>2594.3813999999998</v>
      </c>
      <c r="L165" s="17">
        <v>2160.2932000000001</v>
      </c>
      <c r="M165" s="17">
        <v>1728.5746999999999</v>
      </c>
      <c r="N165" s="17">
        <v>2128.0322999999999</v>
      </c>
      <c r="O165" s="18" t="s">
        <v>8</v>
      </c>
      <c r="P165" s="18" t="s">
        <v>780</v>
      </c>
    </row>
    <row r="166" spans="1:16" x14ac:dyDescent="0.3">
      <c r="A166" s="49" t="s">
        <v>781</v>
      </c>
      <c r="B166" s="191" t="s">
        <v>777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18" t="s">
        <v>8</v>
      </c>
      <c r="P166" s="143"/>
    </row>
    <row r="167" spans="1:16" x14ac:dyDescent="0.3">
      <c r="A167" s="143"/>
      <c r="B167" s="1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1:16" x14ac:dyDescent="0.3">
      <c r="A168" s="143"/>
      <c r="B168" s="1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1:16" ht="18" x14ac:dyDescent="0.3">
      <c r="A169" s="2" t="s">
        <v>782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3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1:16" ht="15.6" x14ac:dyDescent="0.3">
      <c r="A171" s="8" t="s">
        <v>783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1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8"/>
      <c r="M172" s="148"/>
      <c r="N172" s="148"/>
      <c r="O172" s="143"/>
      <c r="P172" s="143"/>
    </row>
    <row r="173" spans="1:16" x14ac:dyDescent="0.3">
      <c r="A173" s="133" t="s">
        <v>784</v>
      </c>
      <c r="B173" s="143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3"/>
      <c r="P173" s="143"/>
    </row>
    <row r="174" spans="1:16" x14ac:dyDescent="0.3">
      <c r="A174" s="49" t="s">
        <v>939</v>
      </c>
      <c r="B174" s="191" t="s">
        <v>224</v>
      </c>
      <c r="C174" s="17">
        <v>3365.7220000000002</v>
      </c>
      <c r="D174" s="17">
        <v>3116.6666666666665</v>
      </c>
      <c r="E174" s="17">
        <v>2982.2222222222222</v>
      </c>
      <c r="F174" s="17">
        <v>2798.8888888888887</v>
      </c>
      <c r="G174" s="17">
        <v>2811.1111111111109</v>
      </c>
      <c r="H174" s="17">
        <v>2798.8888888888887</v>
      </c>
      <c r="I174" s="17">
        <v>2957.7777777777778</v>
      </c>
      <c r="J174" s="17">
        <v>3104.4444444444443</v>
      </c>
      <c r="K174" s="17">
        <v>3165.5555555555557</v>
      </c>
      <c r="L174" s="17">
        <v>3177.7777777777778</v>
      </c>
      <c r="M174" s="17">
        <v>2493.3333333333335</v>
      </c>
      <c r="N174" s="17">
        <v>2322.2222222222222</v>
      </c>
      <c r="O174" s="18" t="s">
        <v>8</v>
      </c>
      <c r="P174" s="18" t="s">
        <v>108</v>
      </c>
    </row>
    <row r="175" spans="1:16" x14ac:dyDescent="0.3">
      <c r="A175" s="49" t="s">
        <v>786</v>
      </c>
      <c r="B175" s="191" t="s">
        <v>224</v>
      </c>
      <c r="C175" s="17">
        <v>4528.7219999999998</v>
      </c>
      <c r="D175" s="17">
        <v>4970.25</v>
      </c>
      <c r="E175" s="17">
        <v>5252.2499999999991</v>
      </c>
      <c r="F175" s="17">
        <v>5275.75</v>
      </c>
      <c r="G175" s="17">
        <v>5310.9999999999991</v>
      </c>
      <c r="H175" s="17">
        <v>5557.75</v>
      </c>
      <c r="I175" s="17">
        <v>5640</v>
      </c>
      <c r="J175" s="17">
        <v>5757.5</v>
      </c>
      <c r="K175" s="17">
        <v>5817.5</v>
      </c>
      <c r="L175" s="17">
        <v>5660.833333333333</v>
      </c>
      <c r="M175" s="17">
        <v>5602.7777777777774</v>
      </c>
      <c r="N175" s="17">
        <v>6189.1666666666661</v>
      </c>
      <c r="O175" s="18" t="s">
        <v>8</v>
      </c>
      <c r="P175" s="18" t="s">
        <v>108</v>
      </c>
    </row>
    <row r="176" spans="1:16" x14ac:dyDescent="0.3">
      <c r="A176" s="49" t="s">
        <v>787</v>
      </c>
      <c r="B176" s="191" t="s">
        <v>224</v>
      </c>
      <c r="C176" s="17">
        <v>26.111111111111114</v>
      </c>
      <c r="D176" s="17">
        <v>29.006249999999998</v>
      </c>
      <c r="E176" s="17">
        <v>37.752361111111114</v>
      </c>
      <c r="F176" s="17">
        <v>44.362499999999997</v>
      </c>
      <c r="G176" s="17">
        <v>53.058055555555569</v>
      </c>
      <c r="H176" s="17">
        <v>63.282916666666665</v>
      </c>
      <c r="I176" s="17">
        <v>71.111111111111114</v>
      </c>
      <c r="J176" s="17">
        <v>85</v>
      </c>
      <c r="K176" s="17">
        <v>102.5</v>
      </c>
      <c r="L176" s="17">
        <v>122.22222222222221</v>
      </c>
      <c r="M176" s="17">
        <v>117.5</v>
      </c>
      <c r="N176" s="17">
        <v>121.3888888888889</v>
      </c>
      <c r="O176" s="18" t="s">
        <v>8</v>
      </c>
      <c r="P176" s="18" t="s">
        <v>108</v>
      </c>
    </row>
    <row r="177" spans="1:16" x14ac:dyDescent="0.3">
      <c r="A177" s="49" t="s">
        <v>788</v>
      </c>
      <c r="B177" s="191" t="s">
        <v>224</v>
      </c>
      <c r="C177" s="17">
        <v>0.55555555555555558</v>
      </c>
      <c r="D177" s="17">
        <v>3.0555555555555554</v>
      </c>
      <c r="E177" s="17">
        <v>6.3888888888888884</v>
      </c>
      <c r="F177" s="17">
        <v>10</v>
      </c>
      <c r="G177" s="17">
        <v>18.333333333333332</v>
      </c>
      <c r="H177" s="17">
        <v>32.222222222222214</v>
      </c>
      <c r="I177" s="17">
        <v>48.055555555555564</v>
      </c>
      <c r="J177" s="17">
        <v>54.444444444444443</v>
      </c>
      <c r="K177" s="17">
        <v>82.777777777777771</v>
      </c>
      <c r="L177" s="17">
        <v>106.94444444444444</v>
      </c>
      <c r="M177" s="17">
        <v>180.83333333333334</v>
      </c>
      <c r="N177" s="17">
        <v>200</v>
      </c>
      <c r="O177" s="18" t="s">
        <v>8</v>
      </c>
      <c r="P177" s="18" t="s">
        <v>108</v>
      </c>
    </row>
    <row r="178" spans="1:16" x14ac:dyDescent="0.3">
      <c r="A178" s="49" t="s">
        <v>789</v>
      </c>
      <c r="B178" s="191" t="s">
        <v>224</v>
      </c>
      <c r="C178" s="17">
        <v>23.055555555555554</v>
      </c>
      <c r="D178" s="17">
        <v>22</v>
      </c>
      <c r="E178" s="17">
        <v>22</v>
      </c>
      <c r="F178" s="17">
        <v>21.000000000000004</v>
      </c>
      <c r="G178" s="17">
        <v>18</v>
      </c>
      <c r="H178" s="17">
        <v>17</v>
      </c>
      <c r="I178" s="17">
        <v>17</v>
      </c>
      <c r="J178" s="17">
        <v>16</v>
      </c>
      <c r="K178" s="17">
        <v>17</v>
      </c>
      <c r="L178" s="17">
        <v>17</v>
      </c>
      <c r="M178" s="17">
        <v>14.444444444444445</v>
      </c>
      <c r="N178" s="17">
        <v>16.944444444444443</v>
      </c>
      <c r="O178" s="18" t="s">
        <v>8</v>
      </c>
      <c r="P178" s="18" t="s">
        <v>108</v>
      </c>
    </row>
    <row r="179" spans="1:16" x14ac:dyDescent="0.3">
      <c r="A179" s="49" t="s">
        <v>790</v>
      </c>
      <c r="B179" s="191" t="s">
        <v>224</v>
      </c>
      <c r="C179" s="17">
        <v>90</v>
      </c>
      <c r="D179" s="17">
        <v>51.751972222222221</v>
      </c>
      <c r="E179" s="17">
        <v>41.882444444444445</v>
      </c>
      <c r="F179" s="17">
        <v>35.547222222222224</v>
      </c>
      <c r="G179" s="17">
        <v>59.397090277777771</v>
      </c>
      <c r="H179" s="17">
        <v>30.238</v>
      </c>
      <c r="I179" s="17">
        <v>22.222222222222253</v>
      </c>
      <c r="J179" s="17">
        <v>28.611111111111111</v>
      </c>
      <c r="K179" s="17">
        <v>203.05555555555554</v>
      </c>
      <c r="L179" s="17">
        <v>378.61111111111109</v>
      </c>
      <c r="M179" s="17">
        <v>550.27777777777771</v>
      </c>
      <c r="N179" s="17">
        <v>621.11111111111109</v>
      </c>
      <c r="O179" s="18" t="s">
        <v>8</v>
      </c>
      <c r="P179" s="18" t="s">
        <v>108</v>
      </c>
    </row>
    <row r="180" spans="1:16" x14ac:dyDescent="0.3">
      <c r="A180" s="62" t="s">
        <v>791</v>
      </c>
      <c r="B180" s="191" t="s">
        <v>224</v>
      </c>
      <c r="C180" s="17">
        <v>46.52</v>
      </c>
      <c r="D180" s="17">
        <v>46.52</v>
      </c>
      <c r="E180" s="17">
        <v>46.52</v>
      </c>
      <c r="F180" s="17">
        <v>34.89</v>
      </c>
      <c r="G180" s="17">
        <v>58.15</v>
      </c>
      <c r="H180" s="17">
        <v>34.89</v>
      </c>
      <c r="I180" s="17">
        <v>22.222222222222221</v>
      </c>
      <c r="J180" s="17">
        <v>11.111111111111111</v>
      </c>
      <c r="K180" s="17">
        <v>56.944444444444443</v>
      </c>
      <c r="L180" s="17">
        <v>85.833333333333329</v>
      </c>
      <c r="M180" s="17">
        <v>71.944444444444443</v>
      </c>
      <c r="N180" s="17">
        <v>49.166666666666664</v>
      </c>
      <c r="O180" s="18" t="s">
        <v>8</v>
      </c>
      <c r="P180" s="18" t="s">
        <v>108</v>
      </c>
    </row>
    <row r="181" spans="1:16" x14ac:dyDescent="0.3">
      <c r="A181" s="62" t="s">
        <v>792</v>
      </c>
      <c r="B181" s="191" t="s">
        <v>224</v>
      </c>
      <c r="C181" s="17">
        <v>37.777777777777779</v>
      </c>
      <c r="D181" s="17">
        <v>7.4999999999999991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17.5</v>
      </c>
      <c r="K181" s="17">
        <v>146.11111111111111</v>
      </c>
      <c r="L181" s="17">
        <v>232.77777777777777</v>
      </c>
      <c r="M181" s="17">
        <v>380.83333333333326</v>
      </c>
      <c r="N181" s="17">
        <v>434.44444444444446</v>
      </c>
      <c r="O181" s="18" t="s">
        <v>8</v>
      </c>
      <c r="P181" s="18" t="s">
        <v>108</v>
      </c>
    </row>
    <row r="182" spans="1:16" x14ac:dyDescent="0.3">
      <c r="A182" s="62" t="s">
        <v>793</v>
      </c>
      <c r="B182" s="191"/>
      <c r="C182" s="17">
        <v>0.55555555555555558</v>
      </c>
      <c r="D182" s="17">
        <v>0.55555555555555558</v>
      </c>
      <c r="E182" s="17">
        <v>0.55555555555555558</v>
      </c>
      <c r="F182" s="17">
        <v>0.55555555555555558</v>
      </c>
      <c r="G182" s="17">
        <v>0.55555555555555558</v>
      </c>
      <c r="H182" s="17">
        <v>0.55555555555555558</v>
      </c>
      <c r="I182" s="17">
        <v>0.55555555555555558</v>
      </c>
      <c r="J182" s="17">
        <v>0.55555555555555558</v>
      </c>
      <c r="K182" s="17">
        <v>0.55555555555555558</v>
      </c>
      <c r="L182" s="17">
        <v>59.999999999999993</v>
      </c>
      <c r="M182" s="17">
        <v>97.5</v>
      </c>
      <c r="N182" s="17">
        <v>137.5</v>
      </c>
      <c r="O182" s="18" t="s">
        <v>8</v>
      </c>
      <c r="P182" s="18" t="s">
        <v>108</v>
      </c>
    </row>
    <row r="183" spans="1:16" x14ac:dyDescent="0.3">
      <c r="A183" s="133" t="s">
        <v>794</v>
      </c>
      <c r="B183" s="283" t="s">
        <v>224</v>
      </c>
      <c r="C183" s="17">
        <v>8034.1662222222212</v>
      </c>
      <c r="D183" s="17">
        <v>8192.7304444444417</v>
      </c>
      <c r="E183" s="17">
        <v>8342.4959166666649</v>
      </c>
      <c r="F183" s="17">
        <v>8185.5486111111095</v>
      </c>
      <c r="G183" s="17">
        <v>8270.8995902777788</v>
      </c>
      <c r="H183" s="17">
        <v>8499.3820277777777</v>
      </c>
      <c r="I183" s="17">
        <v>8756.1666666666661</v>
      </c>
      <c r="J183" s="17">
        <v>9046</v>
      </c>
      <c r="K183" s="17">
        <v>9388.3888888888887</v>
      </c>
      <c r="L183" s="17">
        <v>9463.6111111111113</v>
      </c>
      <c r="M183" s="17">
        <v>8959.1666666666661</v>
      </c>
      <c r="N183" s="17">
        <v>9470.2777777777774</v>
      </c>
      <c r="O183" s="18" t="s">
        <v>8</v>
      </c>
      <c r="P183" s="18" t="s">
        <v>108</v>
      </c>
    </row>
    <row r="184" spans="1:16" x14ac:dyDescent="0.3">
      <c r="A184" s="24" t="s">
        <v>102</v>
      </c>
      <c r="B184" s="25" t="s">
        <v>103</v>
      </c>
      <c r="C184" s="87">
        <f t="shared" ref="C184:N184" si="15">IFERROR(SUM(C174:C179)/C183,"")</f>
        <v>1.0000000000000002</v>
      </c>
      <c r="D184" s="87">
        <f t="shared" si="15"/>
        <v>1.0000000000000002</v>
      </c>
      <c r="E184" s="87">
        <f t="shared" si="15"/>
        <v>1.0000000000000002</v>
      </c>
      <c r="F184" s="87">
        <f t="shared" si="15"/>
        <v>1.0000000000000002</v>
      </c>
      <c r="G184" s="87">
        <f t="shared" si="15"/>
        <v>0.99999999999999978</v>
      </c>
      <c r="H184" s="87">
        <f t="shared" si="15"/>
        <v>1</v>
      </c>
      <c r="I184" s="87">
        <f t="shared" si="15"/>
        <v>1</v>
      </c>
      <c r="J184" s="87">
        <f t="shared" si="15"/>
        <v>1.0000000000000002</v>
      </c>
      <c r="K184" s="87">
        <f t="shared" si="15"/>
        <v>0.99999999999999978</v>
      </c>
      <c r="L184" s="87">
        <f t="shared" si="15"/>
        <v>0.99997651824239064</v>
      </c>
      <c r="M184" s="87">
        <f t="shared" si="15"/>
        <v>1.0000000000000002</v>
      </c>
      <c r="N184" s="87">
        <f t="shared" si="15"/>
        <v>1.0000586630686652</v>
      </c>
      <c r="O184" s="105"/>
      <c r="P184" s="143"/>
    </row>
    <row r="185" spans="1:16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5.6" x14ac:dyDescent="0.3">
      <c r="A186" s="8" t="s">
        <v>795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x14ac:dyDescent="0.3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1:16" x14ac:dyDescent="0.3">
      <c r="A188" s="49" t="s">
        <v>796</v>
      </c>
      <c r="B188" s="191" t="s">
        <v>224</v>
      </c>
      <c r="C188" s="17">
        <v>587.5</v>
      </c>
      <c r="D188" s="17">
        <v>399.5</v>
      </c>
      <c r="E188" s="17">
        <v>352.5</v>
      </c>
      <c r="F188" s="17">
        <v>305.5</v>
      </c>
      <c r="G188" s="17">
        <v>235</v>
      </c>
      <c r="H188" s="17">
        <v>223.25</v>
      </c>
      <c r="I188" s="17">
        <v>180.26500000000001</v>
      </c>
      <c r="J188" s="17">
        <v>183.34699999999998</v>
      </c>
      <c r="K188" s="17">
        <v>170.27483000000001</v>
      </c>
      <c r="L188" s="17">
        <v>128.07500000000002</v>
      </c>
      <c r="M188" s="17">
        <v>118.05555555555556</v>
      </c>
      <c r="N188" s="17">
        <v>145.83333333333334</v>
      </c>
      <c r="O188" s="18" t="s">
        <v>8</v>
      </c>
      <c r="P188" s="12" t="s">
        <v>933</v>
      </c>
    </row>
    <row r="189" spans="1:16" x14ac:dyDescent="0.3">
      <c r="A189" s="49" t="s">
        <v>797</v>
      </c>
      <c r="B189" s="191" t="s">
        <v>224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8" t="s">
        <v>8</v>
      </c>
      <c r="P189" s="18" t="s">
        <v>108</v>
      </c>
    </row>
    <row r="190" spans="1:16" x14ac:dyDescent="0.3">
      <c r="A190" s="49" t="s">
        <v>798</v>
      </c>
      <c r="B190" s="191" t="s">
        <v>224</v>
      </c>
      <c r="C190" s="17">
        <v>14</v>
      </c>
      <c r="D190" s="17">
        <v>12</v>
      </c>
      <c r="E190" s="17">
        <v>12</v>
      </c>
      <c r="F190" s="17">
        <v>14.999999999999998</v>
      </c>
      <c r="G190" s="17">
        <v>7</v>
      </c>
      <c r="H190" s="17">
        <v>6</v>
      </c>
      <c r="I190" s="17">
        <v>6</v>
      </c>
      <c r="J190" s="17">
        <v>13</v>
      </c>
      <c r="K190" s="17">
        <v>10</v>
      </c>
      <c r="L190" s="17">
        <v>12</v>
      </c>
      <c r="M190" s="17">
        <v>11.388888888888889</v>
      </c>
      <c r="N190" s="17">
        <v>13.055555555555557</v>
      </c>
      <c r="O190" s="18" t="s">
        <v>8</v>
      </c>
      <c r="P190" s="18" t="s">
        <v>108</v>
      </c>
    </row>
    <row r="191" spans="1:16" x14ac:dyDescent="0.3">
      <c r="A191" s="133" t="s">
        <v>799</v>
      </c>
      <c r="B191" s="193" t="s">
        <v>224</v>
      </c>
      <c r="C191" s="17">
        <v>601.5</v>
      </c>
      <c r="D191" s="17">
        <v>411.5</v>
      </c>
      <c r="E191" s="17">
        <v>364.5</v>
      </c>
      <c r="F191" s="17">
        <v>320.5</v>
      </c>
      <c r="G191" s="17">
        <v>242</v>
      </c>
      <c r="H191" s="17">
        <v>229.25</v>
      </c>
      <c r="I191" s="17">
        <v>186.26500000000001</v>
      </c>
      <c r="J191" s="17">
        <v>196.34699999999995</v>
      </c>
      <c r="K191" s="17">
        <v>180.27482999999998</v>
      </c>
      <c r="L191" s="17">
        <v>140.07500000000002</v>
      </c>
      <c r="M191" s="17">
        <v>129.44444444444443</v>
      </c>
      <c r="N191" s="17">
        <v>158.88888888888889</v>
      </c>
      <c r="O191" s="18" t="s">
        <v>8</v>
      </c>
      <c r="P191" s="18" t="s">
        <v>108</v>
      </c>
    </row>
    <row r="192" spans="1:16" x14ac:dyDescent="0.3">
      <c r="A192" s="24" t="s">
        <v>102</v>
      </c>
      <c r="B192" s="25" t="s">
        <v>103</v>
      </c>
      <c r="C192" s="87">
        <f>IFERROR(SUM(C188:C190)/C191,"")</f>
        <v>1</v>
      </c>
      <c r="D192" s="87">
        <f t="shared" ref="D192:N192" si="16">IFERROR(SUM(D188:D190)/D191,"")</f>
        <v>1</v>
      </c>
      <c r="E192" s="87">
        <f t="shared" si="16"/>
        <v>1</v>
      </c>
      <c r="F192" s="87">
        <f t="shared" si="16"/>
        <v>1</v>
      </c>
      <c r="G192" s="87">
        <f t="shared" si="16"/>
        <v>1</v>
      </c>
      <c r="H192" s="87">
        <f t="shared" si="16"/>
        <v>1</v>
      </c>
      <c r="I192" s="87">
        <f t="shared" si="16"/>
        <v>1</v>
      </c>
      <c r="J192" s="87">
        <f t="shared" si="16"/>
        <v>1.0000000000000002</v>
      </c>
      <c r="K192" s="87">
        <f t="shared" si="16"/>
        <v>1.0000000000000002</v>
      </c>
      <c r="L192" s="87">
        <f t="shared" si="16"/>
        <v>1</v>
      </c>
      <c r="M192" s="87">
        <f t="shared" si="16"/>
        <v>1.0000000000000002</v>
      </c>
      <c r="N192" s="87">
        <f t="shared" si="16"/>
        <v>1.0000000000000002</v>
      </c>
      <c r="O192" s="105"/>
      <c r="P192" s="143"/>
    </row>
    <row r="193" spans="1:16" x14ac:dyDescent="0.3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1:16" ht="15.6" x14ac:dyDescent="0.3">
      <c r="A194" s="8" t="s">
        <v>800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1:16" x14ac:dyDescent="0.3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x14ac:dyDescent="0.3">
      <c r="A196" s="49" t="s">
        <v>801</v>
      </c>
      <c r="B196" s="191" t="s">
        <v>224</v>
      </c>
      <c r="C196" s="17">
        <v>11.110000000000001</v>
      </c>
      <c r="D196" s="17">
        <v>13.48111111111111</v>
      </c>
      <c r="E196" s="17">
        <v>11.99</v>
      </c>
      <c r="F196" s="17">
        <v>15.497777777777776</v>
      </c>
      <c r="G196" s="17">
        <v>15.644444444444444</v>
      </c>
      <c r="H196" s="17">
        <v>16.524444444444445</v>
      </c>
      <c r="I196" s="17">
        <v>13.456666666666667</v>
      </c>
      <c r="J196" s="17">
        <v>14.214444444444446</v>
      </c>
      <c r="K196" s="17">
        <v>15.864444444444445</v>
      </c>
      <c r="L196" s="17">
        <v>15.119</v>
      </c>
      <c r="M196" s="17">
        <v>13.888888888888889</v>
      </c>
      <c r="N196" s="17">
        <v>21.666666666666668</v>
      </c>
      <c r="O196" s="18" t="s">
        <v>8</v>
      </c>
      <c r="P196" s="18" t="s">
        <v>108</v>
      </c>
    </row>
    <row r="197" spans="1:16" x14ac:dyDescent="0.3">
      <c r="A197" s="49" t="s">
        <v>802</v>
      </c>
      <c r="B197" s="191" t="s">
        <v>224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8" t="s">
        <v>8</v>
      </c>
      <c r="P197" s="18" t="s">
        <v>108</v>
      </c>
    </row>
    <row r="198" spans="1:16" x14ac:dyDescent="0.3">
      <c r="A198" s="133" t="s">
        <v>803</v>
      </c>
      <c r="B198" s="193" t="s">
        <v>224</v>
      </c>
      <c r="C198" s="185">
        <v>11.1100227</v>
      </c>
      <c r="D198" s="185">
        <v>13.481147099999999</v>
      </c>
      <c r="E198" s="185">
        <v>11.989948500000001</v>
      </c>
      <c r="F198" s="185">
        <v>15.497789100000002</v>
      </c>
      <c r="G198" s="185">
        <v>15.6444434</v>
      </c>
      <c r="H198" s="185">
        <v>16.524485500000001</v>
      </c>
      <c r="I198" s="185">
        <v>13.456724100000002</v>
      </c>
      <c r="J198" s="185">
        <v>14.214418600000002</v>
      </c>
      <c r="K198" s="185">
        <v>15.864483</v>
      </c>
      <c r="L198" s="185">
        <v>15.119</v>
      </c>
      <c r="M198" s="185">
        <v>13.888888888888889</v>
      </c>
      <c r="N198" s="185">
        <v>21.666666666666668</v>
      </c>
      <c r="O198" s="18" t="s">
        <v>8</v>
      </c>
      <c r="P198" s="143"/>
    </row>
    <row r="199" spans="1:16" x14ac:dyDescent="0.3">
      <c r="A199" s="24" t="s">
        <v>102</v>
      </c>
      <c r="B199" s="25" t="s">
        <v>103</v>
      </c>
      <c r="C199" s="87">
        <f>IFERROR((C196+C197)/C198,"")</f>
        <v>0.99999795679985437</v>
      </c>
      <c r="D199" s="87">
        <f t="shared" ref="D199:N199" si="17">IFERROR((D196+D197)/D198,"")</f>
        <v>0.99999733042829198</v>
      </c>
      <c r="E199" s="87">
        <f t="shared" si="17"/>
        <v>1.0000042952644876</v>
      </c>
      <c r="F199" s="87">
        <f t="shared" si="17"/>
        <v>0.9999992694298423</v>
      </c>
      <c r="G199" s="87">
        <f t="shared" si="17"/>
        <v>1.000000066761368</v>
      </c>
      <c r="H199" s="87">
        <f t="shared" si="17"/>
        <v>0.99999751547147675</v>
      </c>
      <c r="I199" s="87">
        <f t="shared" si="17"/>
        <v>0.99999573199740821</v>
      </c>
      <c r="J199" s="87">
        <f t="shared" si="17"/>
        <v>1.000001818185124</v>
      </c>
      <c r="K199" s="87">
        <f t="shared" si="17"/>
        <v>0.9999975696935377</v>
      </c>
      <c r="L199" s="87">
        <f t="shared" si="17"/>
        <v>1</v>
      </c>
      <c r="M199" s="87">
        <f t="shared" si="17"/>
        <v>1</v>
      </c>
      <c r="N199" s="87">
        <f t="shared" si="17"/>
        <v>1</v>
      </c>
      <c r="O199" s="105"/>
      <c r="P199" s="143"/>
    </row>
    <row r="200" spans="1:16" x14ac:dyDescent="0.3">
      <c r="A200" s="143"/>
      <c r="B200" s="13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05"/>
      <c r="P200" s="143"/>
    </row>
    <row r="201" spans="1:16" ht="15.6" x14ac:dyDescent="0.3">
      <c r="A201" s="8" t="s">
        <v>804</v>
      </c>
      <c r="B201" s="143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05"/>
      <c r="P201" s="143"/>
    </row>
    <row r="202" spans="1:16" ht="15.6" x14ac:dyDescent="0.3">
      <c r="A202" s="143"/>
      <c r="B202" s="9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05"/>
      <c r="P202" s="143"/>
    </row>
    <row r="203" spans="1:16" x14ac:dyDescent="0.3">
      <c r="A203" s="49" t="s">
        <v>940</v>
      </c>
      <c r="B203" s="191" t="s">
        <v>224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8" t="s">
        <v>8</v>
      </c>
      <c r="P203" s="18" t="s">
        <v>108</v>
      </c>
    </row>
    <row r="204" spans="1:16" x14ac:dyDescent="0.3">
      <c r="A204" s="49" t="s">
        <v>806</v>
      </c>
      <c r="B204" s="191" t="s">
        <v>224</v>
      </c>
      <c r="C204" s="17">
        <v>93.999999999999986</v>
      </c>
      <c r="D204" s="17">
        <v>58.75</v>
      </c>
      <c r="E204" s="17">
        <v>46.999999999999993</v>
      </c>
      <c r="F204" s="17">
        <v>46.999999999999993</v>
      </c>
      <c r="G204" s="17">
        <v>70.5</v>
      </c>
      <c r="H204" s="17">
        <v>70.5</v>
      </c>
      <c r="I204" s="17">
        <v>58.754759999999997</v>
      </c>
      <c r="J204" s="17">
        <v>76.915499999999994</v>
      </c>
      <c r="K204" s="17">
        <v>75.470250000000007</v>
      </c>
      <c r="L204" s="17">
        <v>62.274999999999999</v>
      </c>
      <c r="M204" s="17">
        <v>75.277777777777771</v>
      </c>
      <c r="N204" s="17">
        <v>69.444444444444443</v>
      </c>
      <c r="O204" s="18" t="s">
        <v>8</v>
      </c>
      <c r="P204" s="18" t="s">
        <v>108</v>
      </c>
    </row>
    <row r="205" spans="1:16" x14ac:dyDescent="0.3">
      <c r="A205" s="49" t="s">
        <v>807</v>
      </c>
      <c r="B205" s="191" t="s">
        <v>224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8" t="s">
        <v>8</v>
      </c>
      <c r="P205" s="18" t="s">
        <v>108</v>
      </c>
    </row>
    <row r="206" spans="1:16" x14ac:dyDescent="0.3">
      <c r="A206" s="49" t="s">
        <v>808</v>
      </c>
      <c r="B206" s="191" t="s">
        <v>224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8" t="s">
        <v>8</v>
      </c>
      <c r="P206" s="143"/>
    </row>
    <row r="207" spans="1:16" x14ac:dyDescent="0.3">
      <c r="A207" s="49" t="s">
        <v>809</v>
      </c>
      <c r="B207" s="191" t="s">
        <v>224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8" t="s">
        <v>8</v>
      </c>
      <c r="P207" s="143"/>
    </row>
    <row r="208" spans="1:16" x14ac:dyDescent="0.3">
      <c r="A208" s="133" t="s">
        <v>810</v>
      </c>
      <c r="B208" s="193" t="s">
        <v>224</v>
      </c>
      <c r="C208" s="185">
        <v>93.999999999999986</v>
      </c>
      <c r="D208" s="185">
        <v>58.75</v>
      </c>
      <c r="E208" s="185">
        <v>46.999999999999993</v>
      </c>
      <c r="F208" s="185">
        <v>46.999999999999993</v>
      </c>
      <c r="G208" s="185">
        <v>70.5</v>
      </c>
      <c r="H208" s="185">
        <v>70.5</v>
      </c>
      <c r="I208" s="185">
        <v>58.754759999999997</v>
      </c>
      <c r="J208" s="185">
        <v>76.915499999999994</v>
      </c>
      <c r="K208" s="185">
        <v>75.470250000000007</v>
      </c>
      <c r="L208" s="185">
        <v>62.274999999999999</v>
      </c>
      <c r="M208" s="185">
        <v>75.277777777777771</v>
      </c>
      <c r="N208" s="185">
        <v>69.444444444444443</v>
      </c>
      <c r="O208" s="18" t="s">
        <v>8</v>
      </c>
      <c r="P208" s="143"/>
    </row>
    <row r="209" spans="1:16" x14ac:dyDescent="0.3">
      <c r="A209" s="24" t="s">
        <v>102</v>
      </c>
      <c r="B209" s="25" t="s">
        <v>103</v>
      </c>
      <c r="C209" s="87">
        <f>IFERROR(SUM(C203:C207)/C208,"")</f>
        <v>1</v>
      </c>
      <c r="D209" s="87">
        <f t="shared" ref="D209:N209" si="18">IFERROR(SUM(D203:D207)/D208,"")</f>
        <v>1</v>
      </c>
      <c r="E209" s="87">
        <f t="shared" si="18"/>
        <v>1</v>
      </c>
      <c r="F209" s="87">
        <f t="shared" si="18"/>
        <v>1</v>
      </c>
      <c r="G209" s="87">
        <f t="shared" si="18"/>
        <v>1</v>
      </c>
      <c r="H209" s="87">
        <f t="shared" si="18"/>
        <v>1</v>
      </c>
      <c r="I209" s="87">
        <f t="shared" si="18"/>
        <v>1</v>
      </c>
      <c r="J209" s="87">
        <f t="shared" si="18"/>
        <v>1</v>
      </c>
      <c r="K209" s="87">
        <f t="shared" si="18"/>
        <v>1</v>
      </c>
      <c r="L209" s="87">
        <f t="shared" si="18"/>
        <v>1</v>
      </c>
      <c r="M209" s="87">
        <f t="shared" si="18"/>
        <v>1</v>
      </c>
      <c r="N209" s="87">
        <f t="shared" si="18"/>
        <v>1</v>
      </c>
      <c r="O209" s="105"/>
      <c r="P209" s="143"/>
    </row>
    <row r="210" spans="1:16" ht="18" x14ac:dyDescent="0.3">
      <c r="A210" s="2" t="s">
        <v>811</v>
      </c>
      <c r="B210" s="25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8">
        <f>M208+M198+M191+M183</f>
        <v>9177.7777777777774</v>
      </c>
      <c r="N210" s="143"/>
      <c r="O210" s="105"/>
      <c r="P210" s="143"/>
    </row>
    <row r="211" spans="1:16" ht="15.6" x14ac:dyDescent="0.3">
      <c r="A211" s="8" t="s">
        <v>646</v>
      </c>
      <c r="B211" s="25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05"/>
      <c r="P211" s="143"/>
    </row>
    <row r="212" spans="1:16" x14ac:dyDescent="0.3">
      <c r="A212" s="49" t="s">
        <v>941</v>
      </c>
      <c r="B212" s="191" t="s">
        <v>224</v>
      </c>
      <c r="C212" s="17">
        <v>2758.5257485804595</v>
      </c>
      <c r="D212" s="17">
        <v>2559.7984731565584</v>
      </c>
      <c r="E212" s="17">
        <v>2453.2484281840993</v>
      </c>
      <c r="F212" s="17">
        <v>2300.1320953882737</v>
      </c>
      <c r="G212" s="17">
        <v>2332.011963081477</v>
      </c>
      <c r="H212" s="17">
        <v>2302.4005541819761</v>
      </c>
      <c r="I212" s="17">
        <v>2421.9757410096681</v>
      </c>
      <c r="J212" s="17">
        <v>2532.6563979864704</v>
      </c>
      <c r="K212" s="17">
        <v>2614.1759342006721</v>
      </c>
      <c r="L212" s="17">
        <v>2656.2152606517939</v>
      </c>
      <c r="M212" s="17">
        <v>2083.3227118078989</v>
      </c>
      <c r="N212" s="281"/>
      <c r="O212" s="18" t="s">
        <v>813</v>
      </c>
      <c r="P212" s="143"/>
    </row>
    <row r="213" spans="1:16" x14ac:dyDescent="0.3">
      <c r="A213" s="49" t="s">
        <v>814</v>
      </c>
      <c r="B213" s="191" t="s">
        <v>224</v>
      </c>
      <c r="C213" s="17">
        <v>1395.2361044804998</v>
      </c>
      <c r="D213" s="17">
        <v>1598.9383438318303</v>
      </c>
      <c r="E213" s="17">
        <v>1790.1146126088681</v>
      </c>
      <c r="F213" s="17">
        <v>1883.3730178148944</v>
      </c>
      <c r="G213" s="17">
        <v>1957.1131613189298</v>
      </c>
      <c r="H213" s="17">
        <v>2083.9379043711042</v>
      </c>
      <c r="I213" s="17">
        <v>2125.4469801018831</v>
      </c>
      <c r="J213" s="17">
        <v>2175.8322547811704</v>
      </c>
      <c r="K213" s="17">
        <v>2251.3249224968536</v>
      </c>
      <c r="L213" s="17">
        <v>2228.9728661312743</v>
      </c>
      <c r="M213" s="17">
        <v>2272.6970429970211</v>
      </c>
      <c r="N213" s="281"/>
      <c r="O213" s="18" t="s">
        <v>813</v>
      </c>
      <c r="P213" s="143"/>
    </row>
    <row r="214" spans="1:16" x14ac:dyDescent="0.3">
      <c r="A214" s="49" t="s">
        <v>942</v>
      </c>
      <c r="B214" s="191" t="s">
        <v>224</v>
      </c>
      <c r="C214" s="17">
        <v>2758.5257485804595</v>
      </c>
      <c r="D214" s="17">
        <v>2559.7984731565584</v>
      </c>
      <c r="E214" s="17">
        <v>2453.2484281840993</v>
      </c>
      <c r="F214" s="17">
        <v>2300.1320953882737</v>
      </c>
      <c r="G214" s="17">
        <v>2332.011963081477</v>
      </c>
      <c r="H214" s="17">
        <v>2302.4005541819761</v>
      </c>
      <c r="I214" s="17">
        <v>2421.9757410096681</v>
      </c>
      <c r="J214" s="17">
        <v>2532.6563979864704</v>
      </c>
      <c r="K214" s="17">
        <v>2614.1759342006721</v>
      </c>
      <c r="L214" s="17">
        <v>2656.2152606517939</v>
      </c>
      <c r="M214" s="17">
        <v>2083.3227118078989</v>
      </c>
      <c r="N214" s="281"/>
      <c r="O214" s="18" t="s">
        <v>813</v>
      </c>
      <c r="P214" s="143"/>
    </row>
    <row r="215" spans="1:16" x14ac:dyDescent="0.3">
      <c r="A215" s="49" t="s">
        <v>816</v>
      </c>
      <c r="B215" s="191" t="s">
        <v>224</v>
      </c>
      <c r="C215" s="17">
        <v>1395.2361044804998</v>
      </c>
      <c r="D215" s="17">
        <v>1598.9383438318303</v>
      </c>
      <c r="E215" s="17">
        <v>1790.1146126088681</v>
      </c>
      <c r="F215" s="17">
        <v>1883.3730178148944</v>
      </c>
      <c r="G215" s="17">
        <v>1957.1131613189298</v>
      </c>
      <c r="H215" s="17">
        <v>2083.9379043711042</v>
      </c>
      <c r="I215" s="17">
        <v>2125.4469801018831</v>
      </c>
      <c r="J215" s="17">
        <v>2175.8322547811704</v>
      </c>
      <c r="K215" s="17">
        <v>2251.3249224968536</v>
      </c>
      <c r="L215" s="17">
        <v>2228.9728661312743</v>
      </c>
      <c r="M215" s="17">
        <v>2272.6970429970211</v>
      </c>
      <c r="N215" s="281"/>
      <c r="O215" s="18" t="s">
        <v>813</v>
      </c>
      <c r="P215" s="143"/>
    </row>
    <row r="216" spans="1:16" x14ac:dyDescent="0.3">
      <c r="A216" s="49" t="s">
        <v>817</v>
      </c>
      <c r="B216" s="191" t="s">
        <v>224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281"/>
      <c r="O216" s="105"/>
      <c r="P216" s="143"/>
    </row>
    <row r="217" spans="1:16" x14ac:dyDescent="0.3">
      <c r="A217" s="49" t="s">
        <v>818</v>
      </c>
      <c r="B217" s="191" t="s">
        <v>224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281"/>
      <c r="O217" s="105"/>
      <c r="P217" s="143"/>
    </row>
    <row r="218" spans="1:16" x14ac:dyDescent="0.3">
      <c r="A218" s="49" t="s">
        <v>819</v>
      </c>
      <c r="B218" s="191" t="s">
        <v>224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281"/>
      <c r="O218" s="105"/>
      <c r="P218" s="143"/>
    </row>
    <row r="219" spans="1:16" x14ac:dyDescent="0.3">
      <c r="A219" s="49" t="s">
        <v>820</v>
      </c>
      <c r="B219" s="191" t="s">
        <v>224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281"/>
      <c r="O219" s="105"/>
      <c r="P219" s="143"/>
    </row>
    <row r="220" spans="1:16" x14ac:dyDescent="0.3">
      <c r="A220" s="49" t="s">
        <v>821</v>
      </c>
      <c r="B220" s="191" t="s">
        <v>224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281"/>
      <c r="O220" s="143"/>
      <c r="P220" s="143"/>
    </row>
    <row r="221" spans="1:16" x14ac:dyDescent="0.3">
      <c r="A221" s="49" t="s">
        <v>822</v>
      </c>
      <c r="B221" s="191" t="s">
        <v>224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281"/>
      <c r="O221" s="143"/>
      <c r="P221" s="143"/>
    </row>
    <row r="222" spans="1:16" x14ac:dyDescent="0.3">
      <c r="A222" s="133" t="s">
        <v>823</v>
      </c>
      <c r="B222" s="193" t="s">
        <v>224</v>
      </c>
      <c r="C222" s="185">
        <v>4153.7618530609589</v>
      </c>
      <c r="D222" s="185">
        <v>4158.7368169883885</v>
      </c>
      <c r="E222" s="185">
        <v>4243.3630407929677</v>
      </c>
      <c r="F222" s="185">
        <v>4183.5051132031676</v>
      </c>
      <c r="G222" s="185">
        <v>4289.1251244004061</v>
      </c>
      <c r="H222" s="185">
        <v>4386.3384585530803</v>
      </c>
      <c r="I222" s="185">
        <v>4547.4227211115513</v>
      </c>
      <c r="J222" s="185">
        <v>4708.4886527676408</v>
      </c>
      <c r="K222" s="185">
        <v>4865.5008566975257</v>
      </c>
      <c r="L222" s="185">
        <v>4885.1881267830686</v>
      </c>
      <c r="M222" s="185">
        <v>4356.01975480492</v>
      </c>
      <c r="N222" s="30">
        <v>0</v>
      </c>
      <c r="O222" s="143"/>
      <c r="P222" s="143"/>
    </row>
    <row r="223" spans="1:16" x14ac:dyDescent="0.3">
      <c r="A223" s="24" t="s">
        <v>824</v>
      </c>
      <c r="B223" s="25" t="s">
        <v>103</v>
      </c>
      <c r="C223" s="87">
        <f>IFERROR(SUM(C214:C221)/C222,"")</f>
        <v>1.0000000000000002</v>
      </c>
      <c r="D223" s="87">
        <f t="shared" ref="D223:N223" si="19">IFERROR(SUM(D214:D221)/D222,"")</f>
        <v>1</v>
      </c>
      <c r="E223" s="87">
        <f t="shared" si="19"/>
        <v>1</v>
      </c>
      <c r="F223" s="87">
        <f t="shared" si="19"/>
        <v>1</v>
      </c>
      <c r="G223" s="87">
        <f t="shared" si="19"/>
        <v>1.0000000000000002</v>
      </c>
      <c r="H223" s="87">
        <f t="shared" si="19"/>
        <v>1</v>
      </c>
      <c r="I223" s="87">
        <f t="shared" si="19"/>
        <v>1</v>
      </c>
      <c r="J223" s="87">
        <f t="shared" si="19"/>
        <v>1</v>
      </c>
      <c r="K223" s="87">
        <f t="shared" si="19"/>
        <v>1</v>
      </c>
      <c r="L223" s="87">
        <f t="shared" si="19"/>
        <v>1</v>
      </c>
      <c r="M223" s="87">
        <f t="shared" si="19"/>
        <v>1</v>
      </c>
      <c r="N223" s="87" t="str">
        <f t="shared" si="19"/>
        <v/>
      </c>
      <c r="O223" s="143"/>
      <c r="P223" s="143"/>
    </row>
    <row r="224" spans="1:16" x14ac:dyDescent="0.3">
      <c r="A224" s="24" t="s">
        <v>825</v>
      </c>
      <c r="B224" s="25" t="s">
        <v>103</v>
      </c>
      <c r="C224" s="87">
        <f>IFERROR((SUM(C212:C213)+C216+C217+C221)/C222,"")</f>
        <v>1.0000000000000002</v>
      </c>
      <c r="D224" s="87">
        <f t="shared" ref="D224:N224" si="20">IFERROR((SUM(D212:D213)+D216+D217+D221)/D222,"")</f>
        <v>1</v>
      </c>
      <c r="E224" s="87">
        <f t="shared" si="20"/>
        <v>1</v>
      </c>
      <c r="F224" s="87">
        <f t="shared" si="20"/>
        <v>1</v>
      </c>
      <c r="G224" s="87">
        <f t="shared" si="20"/>
        <v>1.0000000000000002</v>
      </c>
      <c r="H224" s="87">
        <f t="shared" si="20"/>
        <v>1</v>
      </c>
      <c r="I224" s="87">
        <f t="shared" si="20"/>
        <v>1</v>
      </c>
      <c r="J224" s="87">
        <f t="shared" si="20"/>
        <v>1</v>
      </c>
      <c r="K224" s="87">
        <f t="shared" si="20"/>
        <v>1</v>
      </c>
      <c r="L224" s="87">
        <f t="shared" si="20"/>
        <v>1</v>
      </c>
      <c r="M224" s="87">
        <f t="shared" si="20"/>
        <v>1</v>
      </c>
      <c r="N224" s="87" t="str">
        <f t="shared" si="20"/>
        <v/>
      </c>
      <c r="O224" s="143"/>
      <c r="P224" s="143"/>
    </row>
    <row r="225" spans="1:16" x14ac:dyDescent="0.3">
      <c r="A225" s="24"/>
      <c r="B225" s="25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1:16" x14ac:dyDescent="0.3">
      <c r="A226" s="49" t="s">
        <v>826</v>
      </c>
      <c r="B226" s="191" t="s">
        <v>103</v>
      </c>
      <c r="C226" s="282">
        <f>C180/C174</f>
        <v>1.3821700069108501E-2</v>
      </c>
      <c r="D226" s="282">
        <f t="shared" ref="D226:N227" si="21">D180/D174</f>
        <v>1.4926203208556152E-2</v>
      </c>
      <c r="E226" s="282">
        <f t="shared" si="21"/>
        <v>1.5599105812220567E-2</v>
      </c>
      <c r="F226" s="282">
        <f t="shared" si="21"/>
        <v>1.2465660976578008E-2</v>
      </c>
      <c r="G226" s="282">
        <f t="shared" si="21"/>
        <v>2.0685770750988142E-2</v>
      </c>
      <c r="H226" s="282">
        <f t="shared" si="21"/>
        <v>1.2465660976578008E-2</v>
      </c>
      <c r="I226" s="282">
        <f t="shared" si="21"/>
        <v>7.5131480090157776E-3</v>
      </c>
      <c r="J226" s="282">
        <f t="shared" si="21"/>
        <v>3.5790980672870437E-3</v>
      </c>
      <c r="K226" s="282">
        <f t="shared" si="21"/>
        <v>1.7988767988767987E-2</v>
      </c>
      <c r="L226" s="282">
        <f t="shared" si="21"/>
        <v>2.7010489510489507E-2</v>
      </c>
      <c r="M226" s="282">
        <f t="shared" si="21"/>
        <v>2.885472370766488E-2</v>
      </c>
      <c r="N226" s="282">
        <f t="shared" si="21"/>
        <v>2.1172248803827752E-2</v>
      </c>
      <c r="O226" s="18" t="s">
        <v>813</v>
      </c>
      <c r="P226" s="143"/>
    </row>
    <row r="227" spans="1:16" x14ac:dyDescent="0.3">
      <c r="A227" s="49" t="s">
        <v>827</v>
      </c>
      <c r="B227" s="191" t="s">
        <v>103</v>
      </c>
      <c r="C227" s="282">
        <f>C181/C175</f>
        <v>8.3418186803645225E-3</v>
      </c>
      <c r="D227" s="282">
        <f t="shared" si="21"/>
        <v>1.5089784216085708E-3</v>
      </c>
      <c r="E227" s="282">
        <f t="shared" si="21"/>
        <v>0</v>
      </c>
      <c r="F227" s="282">
        <f t="shared" si="21"/>
        <v>0</v>
      </c>
      <c r="G227" s="282">
        <f t="shared" si="21"/>
        <v>0</v>
      </c>
      <c r="H227" s="282">
        <f t="shared" si="21"/>
        <v>0</v>
      </c>
      <c r="I227" s="282">
        <f t="shared" si="21"/>
        <v>0</v>
      </c>
      <c r="J227" s="282">
        <f t="shared" si="21"/>
        <v>3.0395136778115501E-3</v>
      </c>
      <c r="K227" s="282">
        <f t="shared" si="21"/>
        <v>2.5115790478918969E-2</v>
      </c>
      <c r="L227" s="282">
        <f t="shared" si="21"/>
        <v>4.1120761568281074E-2</v>
      </c>
      <c r="M227" s="282">
        <f t="shared" si="21"/>
        <v>6.7972235994050556E-2</v>
      </c>
      <c r="N227" s="282">
        <f t="shared" si="21"/>
        <v>7.0194335981329389E-2</v>
      </c>
      <c r="O227" s="18" t="s">
        <v>813</v>
      </c>
      <c r="P227" s="143"/>
    </row>
    <row r="228" spans="1:16" x14ac:dyDescent="0.3">
      <c r="A228" s="24"/>
      <c r="B228" s="25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</row>
    <row r="229" spans="1:16" ht="15.6" x14ac:dyDescent="0.3">
      <c r="A229" s="8" t="s">
        <v>674</v>
      </c>
      <c r="B229" s="25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</row>
    <row r="230" spans="1:16" x14ac:dyDescent="0.3">
      <c r="A230" s="133" t="s">
        <v>943</v>
      </c>
      <c r="B230" s="283" t="s">
        <v>224</v>
      </c>
      <c r="C230" s="44">
        <v>16.04974584148529</v>
      </c>
      <c r="D230" s="44">
        <v>17.354891786520643</v>
      </c>
      <c r="E230" s="44">
        <v>24.979779520840268</v>
      </c>
      <c r="F230" s="44">
        <v>25.622646616530812</v>
      </c>
      <c r="G230" s="44">
        <v>28.222227542731989</v>
      </c>
      <c r="H230" s="44">
        <v>29.61965064301171</v>
      </c>
      <c r="I230" s="44">
        <v>32.738991765343684</v>
      </c>
      <c r="J230" s="44">
        <v>35.769085601778322</v>
      </c>
      <c r="K230" s="44">
        <v>38.602066308755056</v>
      </c>
      <c r="L230" s="44">
        <v>39.534043899668944</v>
      </c>
      <c r="M230" s="44">
        <v>39.542000000000002</v>
      </c>
      <c r="N230" s="281"/>
      <c r="O230" s="18" t="s">
        <v>813</v>
      </c>
      <c r="P230" s="143"/>
    </row>
    <row r="231" spans="1:16" x14ac:dyDescent="0.3">
      <c r="A231" s="24"/>
      <c r="B231" s="25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1:16" ht="15.6" x14ac:dyDescent="0.3">
      <c r="A232" s="8" t="s">
        <v>677</v>
      </c>
      <c r="B232" s="198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1:16" x14ac:dyDescent="0.3">
      <c r="A233" s="49" t="s">
        <v>944</v>
      </c>
      <c r="B233" s="191" t="s">
        <v>224</v>
      </c>
      <c r="C233" s="17">
        <v>7.2007665570554105</v>
      </c>
      <c r="D233" s="17">
        <v>7.3736021015884461</v>
      </c>
      <c r="E233" s="17">
        <v>4.6633761946528622</v>
      </c>
      <c r="F233" s="17">
        <v>4.3507841321672629</v>
      </c>
      <c r="G233" s="17">
        <v>4.3843522149749878</v>
      </c>
      <c r="H233" s="17">
        <v>4.2778253447820198</v>
      </c>
      <c r="I233" s="17">
        <v>4.4085928578489906</v>
      </c>
      <c r="J233" s="17">
        <v>4.5464436112377795</v>
      </c>
      <c r="K233" s="17">
        <v>5.818065110757118</v>
      </c>
      <c r="L233" s="17">
        <v>4.4894670291071153</v>
      </c>
      <c r="M233" s="17">
        <v>4.1295965585128238</v>
      </c>
      <c r="N233" s="17"/>
      <c r="O233" s="18" t="s">
        <v>813</v>
      </c>
      <c r="P233" s="143"/>
    </row>
    <row r="234" spans="1:16" x14ac:dyDescent="0.3">
      <c r="A234" s="49" t="s">
        <v>830</v>
      </c>
      <c r="B234" s="191" t="s">
        <v>224</v>
      </c>
      <c r="C234" s="17">
        <v>254.44124969268063</v>
      </c>
      <c r="D234" s="17">
        <v>259.82258627747706</v>
      </c>
      <c r="E234" s="17">
        <v>265.76774698296316</v>
      </c>
      <c r="F234" s="17">
        <v>258.14417088577022</v>
      </c>
      <c r="G234" s="17">
        <v>248.11309992230872</v>
      </c>
      <c r="H234" s="17">
        <v>249.67872798549143</v>
      </c>
      <c r="I234" s="17">
        <v>237.50435537013558</v>
      </c>
      <c r="J234" s="17">
        <v>238.78543772292954</v>
      </c>
      <c r="K234" s="17">
        <v>233.33122678053422</v>
      </c>
      <c r="L234" s="17">
        <v>217.93990797721767</v>
      </c>
      <c r="M234" s="17">
        <v>209.79327770690622</v>
      </c>
      <c r="N234" s="17"/>
      <c r="O234" s="18" t="s">
        <v>813</v>
      </c>
      <c r="P234" s="143"/>
    </row>
    <row r="235" spans="1:16" x14ac:dyDescent="0.3">
      <c r="A235" s="49" t="s">
        <v>831</v>
      </c>
      <c r="B235" s="191" t="s">
        <v>224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/>
      <c r="O235" s="143"/>
      <c r="P235" s="143"/>
    </row>
    <row r="236" spans="1:16" x14ac:dyDescent="0.3">
      <c r="A236" s="49" t="s">
        <v>832</v>
      </c>
      <c r="B236" s="191" t="s">
        <v>224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/>
      <c r="O236" s="143"/>
      <c r="P236" s="143"/>
    </row>
    <row r="237" spans="1:16" x14ac:dyDescent="0.3">
      <c r="A237" s="49" t="s">
        <v>833</v>
      </c>
      <c r="B237" s="191" t="s">
        <v>224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/>
      <c r="O237" s="143"/>
      <c r="P237" s="143"/>
    </row>
    <row r="238" spans="1:16" x14ac:dyDescent="0.3">
      <c r="A238" s="49" t="s">
        <v>834</v>
      </c>
      <c r="B238" s="191" t="s">
        <v>224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/>
      <c r="O238" s="143"/>
      <c r="P238" s="143"/>
    </row>
    <row r="239" spans="1:16" x14ac:dyDescent="0.3">
      <c r="A239" s="133" t="s">
        <v>835</v>
      </c>
      <c r="B239" s="193" t="s">
        <v>224</v>
      </c>
      <c r="C239" s="185">
        <v>261.642016249736</v>
      </c>
      <c r="D239" s="185">
        <v>267.19618837906552</v>
      </c>
      <c r="E239" s="185">
        <v>270.43112317761603</v>
      </c>
      <c r="F239" s="185">
        <v>262.49495501793746</v>
      </c>
      <c r="G239" s="185">
        <v>252.49745213728372</v>
      </c>
      <c r="H239" s="185">
        <v>253.95655333027347</v>
      </c>
      <c r="I239" s="185">
        <v>241.9129482279846</v>
      </c>
      <c r="J239" s="185">
        <v>243.33188133416735</v>
      </c>
      <c r="K239" s="185">
        <v>239.14929189129137</v>
      </c>
      <c r="L239" s="185">
        <v>222.42937500632476</v>
      </c>
      <c r="M239" s="185">
        <v>213.9228742654191</v>
      </c>
      <c r="N239" s="17"/>
      <c r="O239" s="143"/>
      <c r="P239" s="143"/>
    </row>
    <row r="240" spans="1:16" x14ac:dyDescent="0.3">
      <c r="A240" s="24" t="s">
        <v>102</v>
      </c>
      <c r="B240" s="25"/>
      <c r="C240" s="87">
        <f>IFERROR((C233+C234)/C239,"")</f>
        <v>1.0000000000000002</v>
      </c>
      <c r="D240" s="87">
        <f t="shared" ref="D240:N240" si="22">IFERROR((D233+D234)/D239,"")</f>
        <v>1</v>
      </c>
      <c r="E240" s="87">
        <f t="shared" si="22"/>
        <v>1</v>
      </c>
      <c r="F240" s="87">
        <f t="shared" si="22"/>
        <v>1.0000000000000002</v>
      </c>
      <c r="G240" s="87">
        <f t="shared" si="22"/>
        <v>1</v>
      </c>
      <c r="H240" s="87">
        <f t="shared" si="22"/>
        <v>1</v>
      </c>
      <c r="I240" s="87">
        <f t="shared" si="22"/>
        <v>0.99999999999999989</v>
      </c>
      <c r="J240" s="87">
        <f t="shared" si="22"/>
        <v>0.99999999999999989</v>
      </c>
      <c r="K240" s="87">
        <f t="shared" si="22"/>
        <v>0.99999999999999989</v>
      </c>
      <c r="L240" s="87">
        <f t="shared" si="22"/>
        <v>1.0000000000000002</v>
      </c>
      <c r="M240" s="87">
        <f t="shared" si="22"/>
        <v>0.99999999999999978</v>
      </c>
      <c r="N240" s="87" t="str">
        <f t="shared" si="22"/>
        <v/>
      </c>
      <c r="O240" s="143"/>
      <c r="P240" s="143"/>
    </row>
    <row r="241" spans="1:16" x14ac:dyDescent="0.3">
      <c r="A241" s="24"/>
      <c r="B241" s="25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</row>
    <row r="242" spans="1:16" ht="15.6" x14ac:dyDescent="0.3">
      <c r="A242" s="8" t="s">
        <v>693</v>
      </c>
      <c r="B242" s="25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</row>
    <row r="243" spans="1:16" x14ac:dyDescent="0.3">
      <c r="A243" s="49" t="s">
        <v>945</v>
      </c>
      <c r="B243" s="191" t="s">
        <v>224</v>
      </c>
      <c r="C243" s="17">
        <v>477.31037570920466</v>
      </c>
      <c r="D243" s="17">
        <v>441.30452146347545</v>
      </c>
      <c r="E243" s="17">
        <v>418.64931921308369</v>
      </c>
      <c r="F243" s="17">
        <v>387.89301911723919</v>
      </c>
      <c r="G243" s="17">
        <v>390.88577274295858</v>
      </c>
      <c r="H243" s="17">
        <v>389.33398916339655</v>
      </c>
      <c r="I243" s="17">
        <v>409.42389677685196</v>
      </c>
      <c r="J243" s="17">
        <v>430.67055049201247</v>
      </c>
      <c r="K243" s="17">
        <v>452.42870571032745</v>
      </c>
      <c r="L243" s="17">
        <v>455.84854206810741</v>
      </c>
      <c r="M243" s="17">
        <v>361.21001433971423</v>
      </c>
      <c r="N243" s="17"/>
      <c r="O243" s="18" t="s">
        <v>813</v>
      </c>
      <c r="P243" s="143"/>
    </row>
    <row r="244" spans="1:16" x14ac:dyDescent="0.3">
      <c r="A244" s="49" t="s">
        <v>837</v>
      </c>
      <c r="B244" s="191" t="s">
        <v>224</v>
      </c>
      <c r="C244" s="17">
        <v>1576.8536100115273</v>
      </c>
      <c r="D244" s="17">
        <v>1694.8645243573333</v>
      </c>
      <c r="E244" s="17">
        <v>1767.4142705361774</v>
      </c>
      <c r="F244" s="17">
        <v>1753.5352148884135</v>
      </c>
      <c r="G244" s="17">
        <v>1776.6003716028576</v>
      </c>
      <c r="H244" s="17">
        <v>1895.1167542937626</v>
      </c>
      <c r="I244" s="17">
        <v>1962.4680284794824</v>
      </c>
      <c r="J244" s="17">
        <v>2046.4683384787845</v>
      </c>
      <c r="K244" s="17">
        <v>2164.6855137306852</v>
      </c>
      <c r="L244" s="17">
        <v>2168.4795370120523</v>
      </c>
      <c r="M244" s="17">
        <v>2231.7233057472004</v>
      </c>
      <c r="N244" s="17"/>
      <c r="O244" s="18" t="s">
        <v>813</v>
      </c>
      <c r="P244" s="143"/>
    </row>
    <row r="245" spans="1:16" x14ac:dyDescent="0.3">
      <c r="A245" s="49" t="s">
        <v>838</v>
      </c>
      <c r="B245" s="191" t="s">
        <v>224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/>
      <c r="O245" s="143"/>
      <c r="P245" s="143"/>
    </row>
    <row r="246" spans="1:16" x14ac:dyDescent="0.3">
      <c r="A246" s="49" t="s">
        <v>839</v>
      </c>
      <c r="B246" s="191" t="s">
        <v>224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/>
      <c r="O246" s="143"/>
      <c r="P246" s="143"/>
    </row>
    <row r="247" spans="1:16" x14ac:dyDescent="0.3">
      <c r="A247" s="49" t="s">
        <v>840</v>
      </c>
      <c r="B247" s="191" t="s">
        <v>224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/>
      <c r="O247" s="143"/>
      <c r="P247" s="143"/>
    </row>
    <row r="248" spans="1:16" x14ac:dyDescent="0.3">
      <c r="A248" s="49" t="s">
        <v>841</v>
      </c>
      <c r="B248" s="191" t="s">
        <v>224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/>
      <c r="O248" s="143"/>
      <c r="P248" s="143"/>
    </row>
    <row r="249" spans="1:16" x14ac:dyDescent="0.3">
      <c r="A249" s="133" t="s">
        <v>842</v>
      </c>
      <c r="B249" s="193" t="s">
        <v>224</v>
      </c>
      <c r="C249" s="185">
        <v>2054.1639857207324</v>
      </c>
      <c r="D249" s="185">
        <v>2136.1690458208086</v>
      </c>
      <c r="E249" s="185">
        <v>2186.0635897492612</v>
      </c>
      <c r="F249" s="185">
        <v>2141.4282340056525</v>
      </c>
      <c r="G249" s="185">
        <v>2167.4861443458162</v>
      </c>
      <c r="H249" s="185">
        <v>2284.4507434571592</v>
      </c>
      <c r="I249" s="185">
        <v>2371.8919252563342</v>
      </c>
      <c r="J249" s="185">
        <v>2477.1388889707964</v>
      </c>
      <c r="K249" s="185">
        <v>2617.1142194410131</v>
      </c>
      <c r="L249" s="185">
        <v>2624.32807908016</v>
      </c>
      <c r="M249" s="185">
        <v>2592.9333200869146</v>
      </c>
      <c r="N249" s="17"/>
      <c r="O249" s="143"/>
      <c r="P249" s="143"/>
    </row>
    <row r="250" spans="1:16" x14ac:dyDescent="0.3">
      <c r="A250" s="24" t="s">
        <v>102</v>
      </c>
      <c r="B250" s="25"/>
      <c r="C250" s="87">
        <f>IFERROR((C243+C244)/C249,"")</f>
        <v>0.99999999999999978</v>
      </c>
      <c r="D250" s="87">
        <f t="shared" ref="D250:N250" si="23">IFERROR((D243+D244)/D249,"")</f>
        <v>1</v>
      </c>
      <c r="E250" s="87">
        <f t="shared" si="23"/>
        <v>1</v>
      </c>
      <c r="F250" s="87">
        <f t="shared" si="23"/>
        <v>1</v>
      </c>
      <c r="G250" s="87">
        <f t="shared" si="23"/>
        <v>1</v>
      </c>
      <c r="H250" s="87">
        <f t="shared" si="23"/>
        <v>1</v>
      </c>
      <c r="I250" s="87">
        <f t="shared" si="23"/>
        <v>1.0000000000000002</v>
      </c>
      <c r="J250" s="87">
        <f t="shared" si="23"/>
        <v>1.0000000000000002</v>
      </c>
      <c r="K250" s="87">
        <f t="shared" si="23"/>
        <v>0.99999999999999978</v>
      </c>
      <c r="L250" s="87">
        <f t="shared" si="23"/>
        <v>0.99999999999999978</v>
      </c>
      <c r="M250" s="87">
        <f t="shared" si="23"/>
        <v>1</v>
      </c>
      <c r="N250" s="87" t="str">
        <f t="shared" si="23"/>
        <v/>
      </c>
      <c r="O250" s="143"/>
      <c r="P250" s="143"/>
    </row>
    <row r="251" spans="1:16" x14ac:dyDescent="0.3">
      <c r="A251" s="24"/>
      <c r="B251" s="25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1:16" ht="15.6" x14ac:dyDescent="0.3">
      <c r="A252" s="8" t="s">
        <v>710</v>
      </c>
      <c r="B252" s="25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</row>
    <row r="253" spans="1:16" x14ac:dyDescent="0.3">
      <c r="A253" s="49" t="s">
        <v>946</v>
      </c>
      <c r="B253" s="191" t="s">
        <v>224</v>
      </c>
      <c r="C253" s="17">
        <v>153.1553633117949</v>
      </c>
      <c r="D253" s="17">
        <v>137.35517815852253</v>
      </c>
      <c r="E253" s="17">
        <v>127.2013191095452</v>
      </c>
      <c r="F253" s="17">
        <v>115.78034363467825</v>
      </c>
      <c r="G253" s="17">
        <v>113.75679552896923</v>
      </c>
      <c r="H253" s="17">
        <v>108.14686955572203</v>
      </c>
      <c r="I253" s="17">
        <v>111.45277759028684</v>
      </c>
      <c r="J253" s="17">
        <v>111.91307786405686</v>
      </c>
      <c r="K253" s="17">
        <v>111.47522866948718</v>
      </c>
      <c r="L253" s="17">
        <v>107.52379746243341</v>
      </c>
      <c r="M253" s="17">
        <v>84.174310258525949</v>
      </c>
      <c r="N253" s="17"/>
      <c r="O253" s="18" t="s">
        <v>813</v>
      </c>
      <c r="P253" s="143"/>
    </row>
    <row r="254" spans="1:16" x14ac:dyDescent="0.3">
      <c r="A254" s="49" t="s">
        <v>844</v>
      </c>
      <c r="B254" s="191" t="s">
        <v>224</v>
      </c>
      <c r="C254" s="17">
        <v>1339.9688135930701</v>
      </c>
      <c r="D254" s="17">
        <v>1424.1245455333594</v>
      </c>
      <c r="E254" s="17">
        <v>1428.9533698719904</v>
      </c>
      <c r="F254" s="17">
        <v>1380.6975964109229</v>
      </c>
      <c r="G254" s="17">
        <v>1329.1733671559045</v>
      </c>
      <c r="H254" s="17">
        <v>1329.0166133496425</v>
      </c>
      <c r="I254" s="17">
        <v>1314.5806360484983</v>
      </c>
      <c r="J254" s="17">
        <v>1313.9139690171146</v>
      </c>
      <c r="K254" s="17">
        <v>1314.2694481030385</v>
      </c>
      <c r="L254" s="17">
        <v>1278.2187999905666</v>
      </c>
      <c r="M254" s="17">
        <v>1269.3974846599831</v>
      </c>
      <c r="N254" s="17"/>
      <c r="O254" s="18" t="s">
        <v>813</v>
      </c>
      <c r="P254" s="143"/>
    </row>
    <row r="255" spans="1:16" x14ac:dyDescent="0.3">
      <c r="A255" s="49" t="s">
        <v>845</v>
      </c>
      <c r="B255" s="191" t="s">
        <v>224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/>
      <c r="O255" s="143"/>
      <c r="P255" s="143"/>
    </row>
    <row r="256" spans="1:16" x14ac:dyDescent="0.3">
      <c r="A256" s="49" t="s">
        <v>846</v>
      </c>
      <c r="B256" s="191" t="s">
        <v>224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/>
      <c r="O256" s="143"/>
      <c r="P256" s="143"/>
    </row>
    <row r="257" spans="1:16" x14ac:dyDescent="0.3">
      <c r="A257" s="49" t="s">
        <v>847</v>
      </c>
      <c r="B257" s="191" t="s">
        <v>224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/>
      <c r="O257" s="143"/>
      <c r="P257" s="143"/>
    </row>
    <row r="258" spans="1:16" x14ac:dyDescent="0.3">
      <c r="A258" s="133" t="s">
        <v>848</v>
      </c>
      <c r="B258" s="191" t="s">
        <v>224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/>
      <c r="O258" s="143"/>
      <c r="P258" s="143"/>
    </row>
    <row r="259" spans="1:16" x14ac:dyDescent="0.3">
      <c r="A259" s="24" t="s">
        <v>102</v>
      </c>
      <c r="B259" s="193" t="s">
        <v>224</v>
      </c>
      <c r="C259" s="185">
        <v>1493.124176904865</v>
      </c>
      <c r="D259" s="185">
        <v>1561.4797236918819</v>
      </c>
      <c r="E259" s="185">
        <v>1556.1546889815354</v>
      </c>
      <c r="F259" s="185">
        <v>1496.4779400456014</v>
      </c>
      <c r="G259" s="185">
        <v>1442.9301626848735</v>
      </c>
      <c r="H259" s="185">
        <v>1437.1634829053644</v>
      </c>
      <c r="I259" s="185">
        <v>1426.0334136387855</v>
      </c>
      <c r="J259" s="185">
        <v>1425.8270468811713</v>
      </c>
      <c r="K259" s="185">
        <v>1425.7446767725257</v>
      </c>
      <c r="L259" s="185">
        <v>1385.7425974529999</v>
      </c>
      <c r="M259" s="185">
        <v>1353.5717949185093</v>
      </c>
      <c r="N259" s="17"/>
      <c r="O259" s="143"/>
      <c r="P259" s="143"/>
    </row>
    <row r="260" spans="1:16" x14ac:dyDescent="0.3">
      <c r="A260" s="24"/>
      <c r="B260" s="25"/>
      <c r="C260" s="87">
        <f>IFERROR((C253+C254)/C259,"")</f>
        <v>1</v>
      </c>
      <c r="D260" s="87">
        <f t="shared" ref="D260:N260" si="24">IFERROR((D253+D254)/D259,"")</f>
        <v>1</v>
      </c>
      <c r="E260" s="87">
        <f t="shared" si="24"/>
        <v>1.0000000000000002</v>
      </c>
      <c r="F260" s="87">
        <f t="shared" si="24"/>
        <v>0.99999999999999989</v>
      </c>
      <c r="G260" s="87">
        <f t="shared" si="24"/>
        <v>1.0000000000000002</v>
      </c>
      <c r="H260" s="87">
        <f t="shared" si="24"/>
        <v>1.0000000000000002</v>
      </c>
      <c r="I260" s="87">
        <f t="shared" si="24"/>
        <v>0.99999999999999967</v>
      </c>
      <c r="J260" s="87">
        <f t="shared" si="24"/>
        <v>1.0000000000000002</v>
      </c>
      <c r="K260" s="87">
        <f t="shared" si="24"/>
        <v>1</v>
      </c>
      <c r="L260" s="87">
        <f t="shared" si="24"/>
        <v>1</v>
      </c>
      <c r="M260" s="87">
        <f t="shared" si="24"/>
        <v>0.99999999999999978</v>
      </c>
      <c r="N260" s="87" t="str">
        <f t="shared" si="24"/>
        <v/>
      </c>
      <c r="O260" s="143"/>
      <c r="P260" s="143"/>
    </row>
    <row r="261" spans="1:16" x14ac:dyDescent="0.3">
      <c r="A261" s="24"/>
      <c r="B261" s="25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</row>
    <row r="262" spans="1:16" x14ac:dyDescent="0.3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</row>
    <row r="263" spans="1:16" ht="18" x14ac:dyDescent="0.3">
      <c r="A263" s="2" t="s">
        <v>849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3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</row>
    <row r="265" spans="1:16" ht="15.6" x14ac:dyDescent="0.3">
      <c r="A265" s="8" t="s">
        <v>850</v>
      </c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</row>
    <row r="266" spans="1:16" x14ac:dyDescent="0.3">
      <c r="A266" s="133" t="s">
        <v>851</v>
      </c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</row>
    <row r="267" spans="1:16" x14ac:dyDescent="0.3">
      <c r="A267" s="49" t="s">
        <v>852</v>
      </c>
      <c r="B267" s="191" t="s">
        <v>853</v>
      </c>
      <c r="C267" s="44">
        <v>8.0692292640657115</v>
      </c>
      <c r="D267" s="44">
        <v>7.9681318282113223</v>
      </c>
      <c r="E267" s="44">
        <v>7.9690511915958666</v>
      </c>
      <c r="F267" s="44">
        <v>7.9305784115142401</v>
      </c>
      <c r="G267" s="44">
        <v>7.8494549614584557</v>
      </c>
      <c r="H267" s="44">
        <v>7.7441303439169591</v>
      </c>
      <c r="I267" s="44">
        <v>7.7582619729558973</v>
      </c>
      <c r="J267" s="44">
        <v>7.7412961274610543</v>
      </c>
      <c r="K267" s="44">
        <v>7.7242904065337052</v>
      </c>
      <c r="L267" s="44">
        <v>7.7378371586419021</v>
      </c>
      <c r="M267" s="44">
        <v>7.5809732310872304</v>
      </c>
      <c r="N267" s="140"/>
      <c r="O267" s="18" t="s">
        <v>20</v>
      </c>
      <c r="P267" s="298" t="s">
        <v>933</v>
      </c>
    </row>
    <row r="268" spans="1:16" x14ac:dyDescent="0.3">
      <c r="A268" s="49" t="s">
        <v>947</v>
      </c>
      <c r="B268" s="191" t="s">
        <v>853</v>
      </c>
      <c r="C268" s="44">
        <v>8.6797049475057975</v>
      </c>
      <c r="D268" s="44">
        <v>8.6001540036426061</v>
      </c>
      <c r="E268" s="44">
        <v>8.718885017860277</v>
      </c>
      <c r="F268" s="44">
        <v>8.7103349436330433</v>
      </c>
      <c r="G268" s="44">
        <v>8.6677130271270642</v>
      </c>
      <c r="H268" s="44">
        <v>8.5339049564707228</v>
      </c>
      <c r="I268" s="44">
        <v>8.5442947646971081</v>
      </c>
      <c r="J268" s="44">
        <v>8.4528341648816916</v>
      </c>
      <c r="K268" s="44">
        <v>8.5187410530569352</v>
      </c>
      <c r="L268" s="44">
        <v>8.4456861692378684</v>
      </c>
      <c r="M268" s="44">
        <v>8.4145495542076461</v>
      </c>
      <c r="N268" s="140"/>
      <c r="O268" s="18" t="s">
        <v>20</v>
      </c>
      <c r="P268" s="298" t="s">
        <v>933</v>
      </c>
    </row>
    <row r="269" spans="1:16" x14ac:dyDescent="0.3">
      <c r="A269" s="49" t="s">
        <v>855</v>
      </c>
      <c r="B269" s="191" t="s">
        <v>853</v>
      </c>
      <c r="C269" s="44">
        <v>7.1645165375849098</v>
      </c>
      <c r="D269" s="44">
        <v>7.1169249789970372</v>
      </c>
      <c r="E269" s="44">
        <v>7.1780977307188589</v>
      </c>
      <c r="F269" s="44">
        <v>7.1516135512700227</v>
      </c>
      <c r="G269" s="44">
        <v>7.114102385402969</v>
      </c>
      <c r="H269" s="44">
        <v>7.0865246760084339</v>
      </c>
      <c r="I269" s="44">
        <v>7.0925506007102666</v>
      </c>
      <c r="J269" s="44">
        <v>7.0973319410030715</v>
      </c>
      <c r="K269" s="44">
        <v>7.1172407082490743</v>
      </c>
      <c r="L269" s="44">
        <v>7.0750290144987416</v>
      </c>
      <c r="M269" s="44">
        <v>7.013104590201082</v>
      </c>
      <c r="N269" s="140"/>
      <c r="O269" s="18" t="s">
        <v>20</v>
      </c>
      <c r="P269" s="298" t="s">
        <v>933</v>
      </c>
    </row>
    <row r="270" spans="1:16" x14ac:dyDescent="0.3">
      <c r="A270" s="49" t="s">
        <v>856</v>
      </c>
      <c r="B270" s="191" t="s">
        <v>853</v>
      </c>
      <c r="C270" s="44">
        <v>3.0764100582258638</v>
      </c>
      <c r="D270" s="44">
        <v>3.0407689761764614</v>
      </c>
      <c r="E270" s="44">
        <v>3.1159877188293925</v>
      </c>
      <c r="F270" s="44">
        <v>3.0449434993150923</v>
      </c>
      <c r="G270" s="44">
        <v>3.0142343574893617</v>
      </c>
      <c r="H270" s="44">
        <v>2.9909407137882726</v>
      </c>
      <c r="I270" s="44">
        <v>3.0030519748666511</v>
      </c>
      <c r="J270" s="44">
        <v>3.0036771327732881</v>
      </c>
      <c r="K270" s="44">
        <v>3.0076240598425565</v>
      </c>
      <c r="L270" s="44">
        <v>2.9792337820250534</v>
      </c>
      <c r="M270" s="44">
        <v>2.9625061130498915</v>
      </c>
      <c r="N270" s="140"/>
      <c r="O270" s="18" t="s">
        <v>20</v>
      </c>
      <c r="P270" s="298" t="s">
        <v>933</v>
      </c>
    </row>
    <row r="271" spans="1:16" x14ac:dyDescent="0.3">
      <c r="A271" s="49" t="s">
        <v>857</v>
      </c>
      <c r="B271" s="201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</row>
    <row r="272" spans="1:16" x14ac:dyDescent="0.3">
      <c r="A272" s="143"/>
      <c r="B272" s="201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1:17" x14ac:dyDescent="0.3">
      <c r="A273" s="133" t="s">
        <v>858</v>
      </c>
      <c r="B273" s="201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1:17" x14ac:dyDescent="0.3">
      <c r="A274" s="49" t="s">
        <v>859</v>
      </c>
      <c r="B274" s="191" t="s">
        <v>853</v>
      </c>
      <c r="C274" s="95">
        <v>6.6304600000000002</v>
      </c>
      <c r="D274" s="95">
        <v>6.0970199999999997</v>
      </c>
      <c r="E274" s="95">
        <v>6.1515899999999997</v>
      </c>
      <c r="F274" s="95">
        <v>6.0124399999999998</v>
      </c>
      <c r="G274" s="95">
        <v>6</v>
      </c>
      <c r="H274" s="95">
        <v>5.9</v>
      </c>
      <c r="I274" s="95">
        <v>5.8</v>
      </c>
      <c r="J274" s="95">
        <v>5.7</v>
      </c>
      <c r="K274" s="95">
        <v>5.6</v>
      </c>
      <c r="L274" s="95">
        <v>5.5412544722809818</v>
      </c>
      <c r="M274" s="95">
        <v>5.52</v>
      </c>
      <c r="N274" s="95"/>
      <c r="O274" s="18" t="s">
        <v>20</v>
      </c>
      <c r="P274" s="298" t="s">
        <v>933</v>
      </c>
      <c r="Q274" s="150" t="s">
        <v>861</v>
      </c>
    </row>
    <row r="275" spans="1:17" x14ac:dyDescent="0.3">
      <c r="A275" s="49" t="s">
        <v>862</v>
      </c>
      <c r="B275" s="191" t="s">
        <v>853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3"/>
      <c r="P275" s="143"/>
    </row>
    <row r="276" spans="1:17" x14ac:dyDescent="0.3">
      <c r="A276" s="49" t="s">
        <v>863</v>
      </c>
      <c r="B276" s="191" t="s">
        <v>853</v>
      </c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3"/>
      <c r="P276" s="143"/>
    </row>
    <row r="277" spans="1:17" x14ac:dyDescent="0.3">
      <c r="A277" s="49" t="s">
        <v>864</v>
      </c>
      <c r="B277" s="191" t="s">
        <v>853</v>
      </c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3"/>
      <c r="P277" s="143"/>
    </row>
    <row r="278" spans="1:17" x14ac:dyDescent="0.3">
      <c r="A278" s="49" t="s">
        <v>865</v>
      </c>
      <c r="B278" s="191" t="s">
        <v>853</v>
      </c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3"/>
      <c r="P278" s="143"/>
    </row>
    <row r="279" spans="1:17" x14ac:dyDescent="0.3">
      <c r="A279" s="49" t="s">
        <v>866</v>
      </c>
      <c r="B279" s="191" t="s">
        <v>853</v>
      </c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3"/>
      <c r="P279" s="143"/>
    </row>
    <row r="280" spans="1:17" x14ac:dyDescent="0.3">
      <c r="A280" s="143"/>
      <c r="B280" s="191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</row>
    <row r="281" spans="1:17" ht="15.6" x14ac:dyDescent="0.3">
      <c r="A281" s="8" t="s">
        <v>674</v>
      </c>
      <c r="B281" s="191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1:17" x14ac:dyDescent="0.3">
      <c r="A282" s="49" t="s">
        <v>948</v>
      </c>
      <c r="B282" s="191" t="s">
        <v>853</v>
      </c>
      <c r="C282" s="151">
        <v>5.3137612884097907</v>
      </c>
      <c r="D282" s="151">
        <v>5.1241694222059246</v>
      </c>
      <c r="E282" s="151">
        <v>4.5053984322974525</v>
      </c>
      <c r="F282" s="151">
        <v>4.2263947050928081</v>
      </c>
      <c r="G282" s="151">
        <v>4.4376914656946527</v>
      </c>
      <c r="H282" s="151">
        <v>4.4722086743494618</v>
      </c>
      <c r="I282" s="151">
        <v>4.5225503645751974</v>
      </c>
      <c r="J282" s="151">
        <v>4.8155385108358715</v>
      </c>
      <c r="K282" s="151">
        <v>4.5637168585725494</v>
      </c>
      <c r="L282" s="151">
        <v>5.03</v>
      </c>
      <c r="M282" s="151">
        <v>5.0577015098813423</v>
      </c>
      <c r="N282" s="205"/>
      <c r="O282" s="18" t="s">
        <v>20</v>
      </c>
      <c r="P282" s="298" t="s">
        <v>933</v>
      </c>
    </row>
    <row r="283" spans="1:17" x14ac:dyDescent="0.3">
      <c r="A283" s="143"/>
      <c r="B283" s="201"/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18"/>
      <c r="P283" s="143"/>
    </row>
    <row r="284" spans="1:17" ht="15.6" x14ac:dyDescent="0.3">
      <c r="A284" s="8" t="s">
        <v>677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18"/>
      <c r="P284" s="143"/>
    </row>
    <row r="285" spans="1:17" x14ac:dyDescent="0.3">
      <c r="A285" s="49" t="s">
        <v>868</v>
      </c>
      <c r="B285" s="191" t="s">
        <v>853</v>
      </c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8"/>
      <c r="P285" s="143"/>
    </row>
    <row r="286" spans="1:17" x14ac:dyDescent="0.3">
      <c r="A286" s="49" t="s">
        <v>949</v>
      </c>
      <c r="B286" s="191" t="s">
        <v>853</v>
      </c>
      <c r="C286" s="95">
        <v>20.281497485805687</v>
      </c>
      <c r="D286" s="95">
        <v>20.250328601786489</v>
      </c>
      <c r="E286" s="95">
        <v>20.589458108380136</v>
      </c>
      <c r="F286" s="95">
        <v>20.905174948973663</v>
      </c>
      <c r="G286" s="95">
        <v>20.444373219352745</v>
      </c>
      <c r="H286" s="95">
        <v>20.333170879521738</v>
      </c>
      <c r="I286" s="95">
        <v>20.329825495073663</v>
      </c>
      <c r="J286" s="95">
        <v>20.36026101416244</v>
      </c>
      <c r="K286" s="95">
        <v>20.441082675900539</v>
      </c>
      <c r="L286" s="95">
        <v>21.0874157889392</v>
      </c>
      <c r="M286" s="95">
        <v>21.495071762167967</v>
      </c>
      <c r="N286" s="95"/>
      <c r="O286" s="18" t="s">
        <v>20</v>
      </c>
      <c r="P286" s="298" t="s">
        <v>933</v>
      </c>
    </row>
    <row r="287" spans="1:17" x14ac:dyDescent="0.3">
      <c r="A287" s="49" t="s">
        <v>870</v>
      </c>
      <c r="B287" s="191" t="s">
        <v>853</v>
      </c>
      <c r="C287" s="95">
        <v>32.165686110892253</v>
      </c>
      <c r="D287" s="95">
        <v>30.719540212646063</v>
      </c>
      <c r="E287" s="95">
        <v>32.090586495030763</v>
      </c>
      <c r="F287" s="95">
        <v>32.098548677447994</v>
      </c>
      <c r="G287" s="95">
        <v>32.145938775273095</v>
      </c>
      <c r="H287" s="95">
        <v>32.169925737525745</v>
      </c>
      <c r="I287" s="95">
        <v>32.184703015007941</v>
      </c>
      <c r="J287" s="95">
        <v>32.20373092845162</v>
      </c>
      <c r="K287" s="95">
        <v>32.189378344630349</v>
      </c>
      <c r="L287" s="95">
        <v>32.249595074507795</v>
      </c>
      <c r="M287" s="95">
        <v>32.182345106679037</v>
      </c>
      <c r="N287" s="95"/>
      <c r="O287" s="18" t="s">
        <v>20</v>
      </c>
      <c r="P287" s="298" t="s">
        <v>933</v>
      </c>
    </row>
    <row r="288" spans="1:17" x14ac:dyDescent="0.3">
      <c r="A288" s="49" t="s">
        <v>871</v>
      </c>
      <c r="B288" s="191" t="s">
        <v>853</v>
      </c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00"/>
      <c r="P288" s="143"/>
    </row>
    <row r="289" spans="1:16" x14ac:dyDescent="0.3">
      <c r="A289" s="49" t="s">
        <v>872</v>
      </c>
      <c r="B289" s="191" t="s">
        <v>853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05"/>
      <c r="P289" s="143"/>
    </row>
    <row r="290" spans="1:16" x14ac:dyDescent="0.3">
      <c r="A290" s="143"/>
      <c r="B290" s="191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</row>
    <row r="291" spans="1:16" ht="15.6" x14ac:dyDescent="0.3">
      <c r="A291" s="8" t="s">
        <v>693</v>
      </c>
      <c r="B291" s="191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</row>
    <row r="292" spans="1:16" x14ac:dyDescent="0.3">
      <c r="A292" s="143"/>
      <c r="B292" s="191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</row>
    <row r="293" spans="1:16" x14ac:dyDescent="0.3">
      <c r="A293" s="58" t="s">
        <v>873</v>
      </c>
      <c r="B293" s="191" t="s">
        <v>853</v>
      </c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00"/>
      <c r="P293" s="138"/>
    </row>
    <row r="294" spans="1:16" x14ac:dyDescent="0.3">
      <c r="A294" s="58" t="s">
        <v>950</v>
      </c>
      <c r="B294" s="191" t="s">
        <v>853</v>
      </c>
      <c r="C294" s="95">
        <v>12.684798698483524</v>
      </c>
      <c r="D294" s="95">
        <v>12.257301675496363</v>
      </c>
      <c r="E294" s="95">
        <v>12.244262033404089</v>
      </c>
      <c r="F294" s="95">
        <v>11.929114356919866</v>
      </c>
      <c r="G294" s="95">
        <v>11.381469835134308</v>
      </c>
      <c r="H294" s="95">
        <v>11.325191599670676</v>
      </c>
      <c r="I294" s="95">
        <v>10.71623198159859</v>
      </c>
      <c r="J294" s="95">
        <v>10.425364376194009</v>
      </c>
      <c r="K294" s="95">
        <v>10.201178302694231</v>
      </c>
      <c r="L294" s="95">
        <v>10.52081589142613</v>
      </c>
      <c r="M294" s="95">
        <v>10.30689585355138</v>
      </c>
      <c r="N294" s="140"/>
      <c r="O294" s="18" t="s">
        <v>20</v>
      </c>
      <c r="P294" s="298" t="s">
        <v>933</v>
      </c>
    </row>
    <row r="295" spans="1:16" x14ac:dyDescent="0.3">
      <c r="A295" s="58" t="s">
        <v>875</v>
      </c>
      <c r="B295" s="191" t="s">
        <v>853</v>
      </c>
      <c r="C295" s="95">
        <v>8.9145260658547176</v>
      </c>
      <c r="D295" s="95">
        <v>8.446746500762023</v>
      </c>
      <c r="E295" s="95">
        <v>8.9022657829493017</v>
      </c>
      <c r="F295" s="95">
        <v>8.8878841976296066</v>
      </c>
      <c r="G295" s="95">
        <v>8.8224780433509142</v>
      </c>
      <c r="H295" s="95">
        <v>8.7760041319592244</v>
      </c>
      <c r="I295" s="95">
        <v>8.8152629109783796</v>
      </c>
      <c r="J295" s="95">
        <v>8.8100434548683513</v>
      </c>
      <c r="K295" s="95">
        <v>8.7890592922602124</v>
      </c>
      <c r="L295" s="95">
        <v>8.7837059144471112</v>
      </c>
      <c r="M295" s="95">
        <v>8.7410075719842997</v>
      </c>
      <c r="N295" s="140"/>
      <c r="O295" s="18" t="s">
        <v>20</v>
      </c>
      <c r="P295" s="298" t="s">
        <v>933</v>
      </c>
    </row>
    <row r="296" spans="1:16" x14ac:dyDescent="0.3">
      <c r="A296" s="58" t="s">
        <v>876</v>
      </c>
      <c r="B296" s="191" t="s">
        <v>853</v>
      </c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8"/>
      <c r="P296" s="138"/>
    </row>
    <row r="297" spans="1:16" x14ac:dyDescent="0.3">
      <c r="A297" s="58" t="s">
        <v>877</v>
      </c>
      <c r="B297" s="191" t="s">
        <v>853</v>
      </c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8"/>
      <c r="P297" s="138"/>
    </row>
    <row r="298" spans="1:16" x14ac:dyDescent="0.3">
      <c r="A298" s="143"/>
      <c r="B298" s="22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8"/>
      <c r="P298" s="138"/>
    </row>
    <row r="299" spans="1:16" ht="15.6" x14ac:dyDescent="0.3">
      <c r="A299" s="8" t="s">
        <v>710</v>
      </c>
      <c r="B299" s="13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8"/>
      <c r="P299" s="138"/>
    </row>
    <row r="300" spans="1:16" x14ac:dyDescent="0.3">
      <c r="A300" s="143"/>
      <c r="B300" s="13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8"/>
      <c r="P300" s="138"/>
    </row>
    <row r="301" spans="1:16" x14ac:dyDescent="0.3">
      <c r="A301" s="58" t="s">
        <v>878</v>
      </c>
      <c r="B301" s="191" t="s">
        <v>853</v>
      </c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8"/>
      <c r="P301" s="138"/>
    </row>
    <row r="302" spans="1:16" x14ac:dyDescent="0.3">
      <c r="A302" s="58" t="s">
        <v>951</v>
      </c>
      <c r="B302" s="191" t="s">
        <v>853</v>
      </c>
      <c r="C302" s="95">
        <v>20.279337969966949</v>
      </c>
      <c r="D302" s="95">
        <v>20.353892218765999</v>
      </c>
      <c r="E302" s="95">
        <v>20.629584887769596</v>
      </c>
      <c r="F302" s="95">
        <v>20.894291649346137</v>
      </c>
      <c r="G302" s="95">
        <v>20.415477497087707</v>
      </c>
      <c r="H302" s="95">
        <v>20.320806935232401</v>
      </c>
      <c r="I302" s="95">
        <v>20.271616998670876</v>
      </c>
      <c r="J302" s="95">
        <v>20.338515890026837</v>
      </c>
      <c r="K302" s="95">
        <v>20.437616502815811</v>
      </c>
      <c r="L302" s="95">
        <v>21.0874157889392</v>
      </c>
      <c r="M302" s="95">
        <v>21.495071762167967</v>
      </c>
      <c r="N302" s="95"/>
      <c r="O302" s="18" t="s">
        <v>20</v>
      </c>
      <c r="P302" s="298" t="s">
        <v>933</v>
      </c>
    </row>
    <row r="303" spans="1:16" x14ac:dyDescent="0.3">
      <c r="A303" s="58" t="s">
        <v>880</v>
      </c>
      <c r="B303" s="191" t="s">
        <v>853</v>
      </c>
      <c r="C303" s="95">
        <v>23.222426914297525</v>
      </c>
      <c r="D303" s="95">
        <v>23.253562440421106</v>
      </c>
      <c r="E303" s="95">
        <v>23.262194120414243</v>
      </c>
      <c r="F303" s="95">
        <v>23.391341938602331</v>
      </c>
      <c r="G303" s="95">
        <v>23.416800697936232</v>
      </c>
      <c r="H303" s="95">
        <v>23.345421521187195</v>
      </c>
      <c r="I303" s="95">
        <v>23.546983090475006</v>
      </c>
      <c r="J303" s="95">
        <v>23.628378059242156</v>
      </c>
      <c r="K303" s="95">
        <v>23.669568278216733</v>
      </c>
      <c r="L303" s="95">
        <v>22.281354666345308</v>
      </c>
      <c r="M303" s="95">
        <v>23.717775635256285</v>
      </c>
      <c r="N303" s="95"/>
      <c r="O303" s="18" t="s">
        <v>20</v>
      </c>
      <c r="P303" s="298" t="s">
        <v>933</v>
      </c>
    </row>
    <row r="304" spans="1:16" x14ac:dyDescent="0.3">
      <c r="A304" s="58" t="s">
        <v>847</v>
      </c>
      <c r="B304" s="191" t="s">
        <v>853</v>
      </c>
      <c r="C304" s="151">
        <v>0</v>
      </c>
      <c r="D304" s="151">
        <v>0</v>
      </c>
      <c r="E304" s="151">
        <v>0</v>
      </c>
      <c r="F304" s="151">
        <v>0</v>
      </c>
      <c r="G304" s="151">
        <v>0</v>
      </c>
      <c r="H304" s="151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51"/>
      <c r="O304" s="18" t="s">
        <v>20</v>
      </c>
      <c r="P304" s="298" t="s">
        <v>933</v>
      </c>
    </row>
    <row r="305" spans="1:16" x14ac:dyDescent="0.3">
      <c r="A305" s="143"/>
      <c r="B305" s="191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8"/>
      <c r="P305" s="138"/>
    </row>
    <row r="306" spans="1:16" ht="15.6" x14ac:dyDescent="0.3">
      <c r="A306" s="8" t="s">
        <v>726</v>
      </c>
      <c r="B306" s="191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8"/>
      <c r="P306" s="138"/>
    </row>
    <row r="307" spans="1:16" x14ac:dyDescent="0.3">
      <c r="A307" s="143"/>
      <c r="B307" s="191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8"/>
      <c r="P307" s="138"/>
    </row>
    <row r="308" spans="1:16" x14ac:dyDescent="0.3">
      <c r="A308" s="58" t="s">
        <v>952</v>
      </c>
      <c r="B308" s="191" t="s">
        <v>853</v>
      </c>
      <c r="C308" s="95">
        <v>13.449289029765668</v>
      </c>
      <c r="D308" s="95">
        <v>12.768473490104762</v>
      </c>
      <c r="E308" s="95">
        <v>12.699428016039482</v>
      </c>
      <c r="F308" s="95">
        <v>12.385313822604207</v>
      </c>
      <c r="G308" s="95">
        <v>11.824983794298753</v>
      </c>
      <c r="H308" s="95">
        <v>11.83419343286891</v>
      </c>
      <c r="I308" s="95">
        <v>11.137496571397349</v>
      </c>
      <c r="J308" s="95">
        <v>10.814511907113063</v>
      </c>
      <c r="K308" s="95">
        <v>10.462451007808513</v>
      </c>
      <c r="L308" s="95">
        <v>10.716728435472579</v>
      </c>
      <c r="M308" s="95">
        <v>10.452313232789979</v>
      </c>
      <c r="N308" s="140"/>
      <c r="O308" s="18" t="s">
        <v>20</v>
      </c>
      <c r="P308" s="298" t="s">
        <v>933</v>
      </c>
    </row>
    <row r="309" spans="1:16" x14ac:dyDescent="0.3">
      <c r="A309" s="58" t="s">
        <v>882</v>
      </c>
      <c r="B309" s="191" t="s">
        <v>853</v>
      </c>
      <c r="C309" s="95">
        <v>16.843182376638683</v>
      </c>
      <c r="D309" s="95">
        <v>16.088020596897497</v>
      </c>
      <c r="E309" s="95">
        <v>16.643030464073895</v>
      </c>
      <c r="F309" s="95">
        <v>16.327367109396114</v>
      </c>
      <c r="G309" s="95">
        <v>16.018508770080999</v>
      </c>
      <c r="H309" s="95">
        <v>16.129916323920099</v>
      </c>
      <c r="I309" s="95">
        <v>15.255263352716387</v>
      </c>
      <c r="J309" s="95">
        <v>14.957996711254831</v>
      </c>
      <c r="K309" s="95">
        <v>14.391153260423813</v>
      </c>
      <c r="L309" s="95">
        <v>13.492458018002335</v>
      </c>
      <c r="M309" s="95">
        <v>13.667222727518178</v>
      </c>
      <c r="N309" s="140"/>
      <c r="O309" s="18" t="s">
        <v>20</v>
      </c>
      <c r="P309" s="298" t="s">
        <v>933</v>
      </c>
    </row>
    <row r="310" spans="1:16" x14ac:dyDescent="0.3">
      <c r="A310" s="58" t="s">
        <v>883</v>
      </c>
      <c r="B310" s="191" t="s">
        <v>853</v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137"/>
      <c r="O310" s="18"/>
      <c r="P310" s="138"/>
    </row>
    <row r="311" spans="1:16" x14ac:dyDescent="0.3">
      <c r="A311" s="58" t="s">
        <v>884</v>
      </c>
      <c r="B311" s="191" t="s">
        <v>853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2"/>
      <c r="O311" s="18" t="s">
        <v>20</v>
      </c>
      <c r="P311" s="298" t="s">
        <v>933</v>
      </c>
    </row>
    <row r="312" spans="1:16" x14ac:dyDescent="0.3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05"/>
      <c r="P312" s="138"/>
    </row>
    <row r="313" spans="1:16" ht="18" x14ac:dyDescent="0.3">
      <c r="A313" s="37" t="s">
        <v>183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x14ac:dyDescent="0.3">
      <c r="A314" s="143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</row>
    <row r="315" spans="1:16" ht="15.6" x14ac:dyDescent="0.3">
      <c r="A315" s="8" t="s">
        <v>420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</row>
    <row r="316" spans="1:16" ht="15.6" x14ac:dyDescent="0.3">
      <c r="A316" s="8"/>
      <c r="B316" s="138"/>
      <c r="C316" s="45">
        <v>2010</v>
      </c>
      <c r="D316" s="45">
        <v>2011</v>
      </c>
      <c r="E316" s="45">
        <v>2012</v>
      </c>
      <c r="F316" s="45">
        <v>2013</v>
      </c>
      <c r="G316" s="45">
        <v>2014</v>
      </c>
      <c r="H316" s="45">
        <v>2015</v>
      </c>
      <c r="I316" s="45">
        <v>2016</v>
      </c>
      <c r="J316" s="45">
        <v>2017</v>
      </c>
      <c r="K316" s="45">
        <v>2018</v>
      </c>
      <c r="L316" s="45">
        <v>2019</v>
      </c>
      <c r="M316" s="45">
        <v>2020</v>
      </c>
      <c r="N316" s="45">
        <v>2021</v>
      </c>
      <c r="O316" s="138"/>
      <c r="P316" s="138"/>
    </row>
    <row r="317" spans="1:16" x14ac:dyDescent="0.3">
      <c r="A317" s="58" t="s">
        <v>885</v>
      </c>
      <c r="B317" s="191">
        <v>1</v>
      </c>
      <c r="C317" s="212">
        <f>C328</f>
        <v>1</v>
      </c>
      <c r="D317" s="212">
        <f t="shared" ref="D317:N317" si="25">D328</f>
        <v>1</v>
      </c>
      <c r="E317" s="212">
        <f t="shared" si="25"/>
        <v>1</v>
      </c>
      <c r="F317" s="212">
        <f t="shared" si="25"/>
        <v>1</v>
      </c>
      <c r="G317" s="212">
        <f t="shared" si="25"/>
        <v>1</v>
      </c>
      <c r="H317" s="212">
        <f t="shared" si="25"/>
        <v>1</v>
      </c>
      <c r="I317" s="212">
        <f t="shared" si="25"/>
        <v>1</v>
      </c>
      <c r="J317" s="212">
        <f t="shared" si="25"/>
        <v>1</v>
      </c>
      <c r="K317" s="212">
        <f t="shared" si="25"/>
        <v>1</v>
      </c>
      <c r="L317" s="212">
        <f t="shared" si="25"/>
        <v>1</v>
      </c>
      <c r="M317" s="212">
        <f t="shared" si="25"/>
        <v>1</v>
      </c>
      <c r="N317" s="212">
        <f t="shared" si="25"/>
        <v>1</v>
      </c>
      <c r="O317" s="138"/>
      <c r="P317" s="138"/>
    </row>
    <row r="318" spans="1:16" x14ac:dyDescent="0.3">
      <c r="A318" s="58" t="s">
        <v>886</v>
      </c>
      <c r="B318" s="191">
        <v>1</v>
      </c>
      <c r="C318" s="212">
        <f>C353</f>
        <v>0.99310140680296832</v>
      </c>
      <c r="D318" s="212">
        <f t="shared" ref="D318:N318" si="26">D353</f>
        <v>0.99367808105869049</v>
      </c>
      <c r="E318" s="212">
        <f t="shared" si="26"/>
        <v>0.99262766262533342</v>
      </c>
      <c r="F318" s="212">
        <f t="shared" si="26"/>
        <v>0.99071293497432422</v>
      </c>
      <c r="G318" s="212">
        <f t="shared" si="26"/>
        <v>0.98904127922515095</v>
      </c>
      <c r="H318" s="212">
        <f t="shared" si="26"/>
        <v>0.98731047286303852</v>
      </c>
      <c r="I318" s="212">
        <f t="shared" si="26"/>
        <v>0.98444905495174839</v>
      </c>
      <c r="J318" s="212">
        <f t="shared" si="26"/>
        <v>0.98281622325398577</v>
      </c>
      <c r="K318" s="212">
        <f t="shared" si="26"/>
        <v>0.97845447390689433</v>
      </c>
      <c r="L318" s="212">
        <f t="shared" si="26"/>
        <v>0.96762452669582311</v>
      </c>
      <c r="M318" s="212">
        <f t="shared" si="26"/>
        <v>0.95499839018611443</v>
      </c>
      <c r="N318" s="212">
        <f t="shared" si="26"/>
        <v>0</v>
      </c>
      <c r="O318" s="138"/>
      <c r="P318" s="138"/>
    </row>
    <row r="319" spans="1:16" x14ac:dyDescent="0.3">
      <c r="A319" s="143"/>
      <c r="B319" s="203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</row>
    <row r="320" spans="1:16" ht="15.6" x14ac:dyDescent="0.3">
      <c r="A320" s="8" t="s">
        <v>887</v>
      </c>
      <c r="B320" s="203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</row>
    <row r="321" spans="1:16" x14ac:dyDescent="0.3">
      <c r="A321" s="143"/>
      <c r="B321" s="203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</row>
    <row r="322" spans="1:16" x14ac:dyDescent="0.3">
      <c r="A322" s="154" t="s">
        <v>888</v>
      </c>
      <c r="B322" s="22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</row>
    <row r="323" spans="1:16" x14ac:dyDescent="0.3">
      <c r="A323" s="58" t="s">
        <v>889</v>
      </c>
      <c r="B323" s="191" t="s">
        <v>226</v>
      </c>
      <c r="C323" s="155">
        <f t="shared" ref="C323:N323" si="27">C183/1000</f>
        <v>8.0341662222222219</v>
      </c>
      <c r="D323" s="155">
        <f t="shared" si="27"/>
        <v>8.1927304444444413</v>
      </c>
      <c r="E323" s="155">
        <f t="shared" si="27"/>
        <v>8.3424959166666657</v>
      </c>
      <c r="F323" s="155">
        <f t="shared" si="27"/>
        <v>8.1855486111111091</v>
      </c>
      <c r="G323" s="155">
        <f t="shared" si="27"/>
        <v>8.2708995902777787</v>
      </c>
      <c r="H323" s="155">
        <f t="shared" si="27"/>
        <v>8.4993820277777772</v>
      </c>
      <c r="I323" s="155">
        <f t="shared" si="27"/>
        <v>8.7561666666666653</v>
      </c>
      <c r="J323" s="155">
        <f t="shared" si="27"/>
        <v>9.0459999999999994</v>
      </c>
      <c r="K323" s="155">
        <f t="shared" si="27"/>
        <v>9.3883888888888887</v>
      </c>
      <c r="L323" s="155">
        <f t="shared" si="27"/>
        <v>9.4636111111111116</v>
      </c>
      <c r="M323" s="155">
        <f t="shared" si="27"/>
        <v>8.9591666666666665</v>
      </c>
      <c r="N323" s="155">
        <f t="shared" si="27"/>
        <v>9.4702777777777776</v>
      </c>
      <c r="O323" s="138"/>
      <c r="P323" s="138"/>
    </row>
    <row r="324" spans="1:16" x14ac:dyDescent="0.3">
      <c r="A324" s="58" t="s">
        <v>890</v>
      </c>
      <c r="B324" s="191" t="s">
        <v>226</v>
      </c>
      <c r="C324" s="155">
        <f t="shared" ref="C324:N324" si="28">C191/1000</f>
        <v>0.60150000000000003</v>
      </c>
      <c r="D324" s="155">
        <f t="shared" si="28"/>
        <v>0.41149999999999998</v>
      </c>
      <c r="E324" s="155">
        <f t="shared" si="28"/>
        <v>0.36449999999999999</v>
      </c>
      <c r="F324" s="155">
        <f t="shared" si="28"/>
        <v>0.32050000000000001</v>
      </c>
      <c r="G324" s="155">
        <f t="shared" si="28"/>
        <v>0.24199999999999999</v>
      </c>
      <c r="H324" s="155">
        <f t="shared" si="28"/>
        <v>0.22925000000000001</v>
      </c>
      <c r="I324" s="155">
        <f t="shared" si="28"/>
        <v>0.18626500000000001</v>
      </c>
      <c r="J324" s="155">
        <f t="shared" si="28"/>
        <v>0.19634699999999994</v>
      </c>
      <c r="K324" s="155">
        <f t="shared" si="28"/>
        <v>0.18027482999999997</v>
      </c>
      <c r="L324" s="155">
        <f t="shared" si="28"/>
        <v>0.14007500000000001</v>
      </c>
      <c r="M324" s="155">
        <f t="shared" si="28"/>
        <v>0.12944444444444442</v>
      </c>
      <c r="N324" s="155">
        <f t="shared" si="28"/>
        <v>0.15888888888888889</v>
      </c>
      <c r="O324" s="138"/>
      <c r="P324" s="138"/>
    </row>
    <row r="325" spans="1:16" x14ac:dyDescent="0.3">
      <c r="A325" s="58" t="s">
        <v>891</v>
      </c>
      <c r="B325" s="191" t="s">
        <v>226</v>
      </c>
      <c r="C325" s="155">
        <f t="shared" ref="C325:N325" si="29">C208/1000</f>
        <v>9.3999999999999986E-2</v>
      </c>
      <c r="D325" s="155">
        <f t="shared" si="29"/>
        <v>5.8749999999999997E-2</v>
      </c>
      <c r="E325" s="155">
        <f t="shared" si="29"/>
        <v>4.6999999999999993E-2</v>
      </c>
      <c r="F325" s="155">
        <f t="shared" si="29"/>
        <v>4.6999999999999993E-2</v>
      </c>
      <c r="G325" s="155">
        <f t="shared" si="29"/>
        <v>7.0499999999999993E-2</v>
      </c>
      <c r="H325" s="155">
        <f t="shared" si="29"/>
        <v>7.0499999999999993E-2</v>
      </c>
      <c r="I325" s="155">
        <f t="shared" si="29"/>
        <v>5.8754759999999996E-2</v>
      </c>
      <c r="J325" s="155">
        <f t="shared" si="29"/>
        <v>7.6915499999999998E-2</v>
      </c>
      <c r="K325" s="155">
        <f t="shared" si="29"/>
        <v>7.5470250000000003E-2</v>
      </c>
      <c r="L325" s="155">
        <f t="shared" si="29"/>
        <v>6.2274999999999997E-2</v>
      </c>
      <c r="M325" s="155">
        <f t="shared" si="29"/>
        <v>7.5277777777777777E-2</v>
      </c>
      <c r="N325" s="155">
        <f t="shared" si="29"/>
        <v>6.9444444444444448E-2</v>
      </c>
      <c r="O325" s="138"/>
      <c r="P325" s="138"/>
    </row>
    <row r="326" spans="1:16" x14ac:dyDescent="0.3">
      <c r="A326" s="58" t="s">
        <v>892</v>
      </c>
      <c r="B326" s="191" t="s">
        <v>226</v>
      </c>
      <c r="C326" s="156">
        <f t="shared" ref="C326:N326" si="30">C198/1000</f>
        <v>1.11100227E-2</v>
      </c>
      <c r="D326" s="156">
        <f t="shared" si="30"/>
        <v>1.34811471E-2</v>
      </c>
      <c r="E326" s="156">
        <f t="shared" si="30"/>
        <v>1.19899485E-2</v>
      </c>
      <c r="F326" s="156">
        <f t="shared" si="30"/>
        <v>1.5497789100000003E-2</v>
      </c>
      <c r="G326" s="156">
        <f t="shared" si="30"/>
        <v>1.5644443399999999E-2</v>
      </c>
      <c r="H326" s="156">
        <f t="shared" si="30"/>
        <v>1.6524485500000002E-2</v>
      </c>
      <c r="I326" s="156">
        <f t="shared" si="30"/>
        <v>1.3456724100000003E-2</v>
      </c>
      <c r="J326" s="156">
        <f t="shared" si="30"/>
        <v>1.4214418600000002E-2</v>
      </c>
      <c r="K326" s="156">
        <f t="shared" si="30"/>
        <v>1.5864482999999999E-2</v>
      </c>
      <c r="L326" s="156">
        <f t="shared" si="30"/>
        <v>1.5119E-2</v>
      </c>
      <c r="M326" s="156">
        <f t="shared" si="30"/>
        <v>1.388888888888889E-2</v>
      </c>
      <c r="N326" s="156">
        <f t="shared" si="30"/>
        <v>2.1666666666666667E-2</v>
      </c>
      <c r="O326" s="138"/>
      <c r="P326" s="138"/>
    </row>
    <row r="327" spans="1:16" x14ac:dyDescent="0.3">
      <c r="A327" s="154" t="s">
        <v>893</v>
      </c>
      <c r="B327" s="193" t="s">
        <v>226</v>
      </c>
      <c r="C327" s="207">
        <f>SUM(C323:C326)</f>
        <v>8.7407762449222215</v>
      </c>
      <c r="D327" s="207">
        <f t="shared" ref="D327:N327" si="31">SUM(D323:D326)</f>
        <v>8.6764615915444416</v>
      </c>
      <c r="E327" s="207">
        <f t="shared" si="31"/>
        <v>8.765985865166666</v>
      </c>
      <c r="F327" s="207">
        <f t="shared" si="31"/>
        <v>8.5685464002111082</v>
      </c>
      <c r="G327" s="207">
        <f t="shared" si="31"/>
        <v>8.599044033677778</v>
      </c>
      <c r="H327" s="207">
        <f t="shared" si="31"/>
        <v>8.8156565132777764</v>
      </c>
      <c r="I327" s="207">
        <f t="shared" si="31"/>
        <v>9.0146431507666644</v>
      </c>
      <c r="J327" s="207">
        <f t="shared" si="31"/>
        <v>9.3334769185999988</v>
      </c>
      <c r="K327" s="207">
        <f t="shared" si="31"/>
        <v>9.6599984518888888</v>
      </c>
      <c r="L327" s="207">
        <f t="shared" si="31"/>
        <v>9.6810801111111111</v>
      </c>
      <c r="M327" s="394">
        <f t="shared" si="31"/>
        <v>9.1777777777777789</v>
      </c>
      <c r="N327" s="394">
        <f t="shared" si="31"/>
        <v>9.7202777777777776</v>
      </c>
      <c r="O327" s="138"/>
      <c r="P327" s="138"/>
    </row>
    <row r="328" spans="1:16" x14ac:dyDescent="0.3">
      <c r="A328" s="24" t="s">
        <v>894</v>
      </c>
      <c r="B328" s="13"/>
      <c r="C328" s="157">
        <f>IFERROR(SUM(C323:C326)/C327,"")</f>
        <v>1</v>
      </c>
      <c r="D328" s="157">
        <f t="shared" ref="D328:N328" si="32">IFERROR(SUM(D323:D326)/D327,"")</f>
        <v>1</v>
      </c>
      <c r="E328" s="157">
        <f t="shared" si="32"/>
        <v>1</v>
      </c>
      <c r="F328" s="157">
        <f t="shared" si="32"/>
        <v>1</v>
      </c>
      <c r="G328" s="157">
        <f t="shared" si="32"/>
        <v>1</v>
      </c>
      <c r="H328" s="157">
        <f t="shared" si="32"/>
        <v>1</v>
      </c>
      <c r="I328" s="157">
        <f t="shared" si="32"/>
        <v>1</v>
      </c>
      <c r="J328" s="157">
        <f t="shared" si="32"/>
        <v>1</v>
      </c>
      <c r="K328" s="157">
        <f t="shared" si="32"/>
        <v>1</v>
      </c>
      <c r="L328" s="157">
        <f t="shared" si="32"/>
        <v>1</v>
      </c>
      <c r="M328" s="157">
        <f t="shared" si="32"/>
        <v>1</v>
      </c>
      <c r="N328" s="157">
        <f t="shared" si="32"/>
        <v>1</v>
      </c>
      <c r="O328" s="138"/>
      <c r="P328" s="138"/>
    </row>
    <row r="329" spans="1:16" x14ac:dyDescent="0.3">
      <c r="A329" s="143"/>
      <c r="B329" s="13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</row>
    <row r="330" spans="1:16" x14ac:dyDescent="0.3">
      <c r="A330" s="154" t="s">
        <v>895</v>
      </c>
      <c r="B330" s="29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</row>
    <row r="331" spans="1:16" x14ac:dyDescent="0.3">
      <c r="A331" s="58" t="s">
        <v>896</v>
      </c>
      <c r="B331" s="191" t="s">
        <v>103</v>
      </c>
      <c r="C331" s="158">
        <f>IFERROR((C174+C203)/'Macroeconomy (GWh)'!C79,"")</f>
        <v>1.0013718347107439</v>
      </c>
      <c r="D331" s="158">
        <f>IFERROR((D174+D203)/'Macroeconomy (GWh)'!D79,"")</f>
        <v>1</v>
      </c>
      <c r="E331" s="158">
        <f>IFERROR((E174+E203)/'Macroeconomy (GWh)'!E79,"")</f>
        <v>1</v>
      </c>
      <c r="F331" s="158">
        <f>IFERROR((F174+F203)/'Macroeconomy (GWh)'!F79,"")</f>
        <v>1</v>
      </c>
      <c r="G331" s="158">
        <f>IFERROR((G174+G203)/'Macroeconomy (GWh)'!G79,"")</f>
        <v>1</v>
      </c>
      <c r="H331" s="158">
        <f>IFERROR((H174+H203)/'Macroeconomy (GWh)'!H79,"")</f>
        <v>1</v>
      </c>
      <c r="I331" s="158">
        <f>IFERROR((I174+I203)/'Macroeconomy (GWh)'!I79,"")</f>
        <v>1</v>
      </c>
      <c r="J331" s="158">
        <f>IFERROR((J174+J203)/'Macroeconomy (GWh)'!J79,"")</f>
        <v>1</v>
      </c>
      <c r="K331" s="158">
        <f>IFERROR((K174+K203)/'Macroeconomy (GWh)'!K79,"")</f>
        <v>1</v>
      </c>
      <c r="L331" s="158">
        <f>IFERROR((L174+L203)/'Macroeconomy (GWh)'!L79,"")</f>
        <v>1</v>
      </c>
      <c r="M331" s="158">
        <f>IFERROR((M174+M203)/'Macroeconomy (GWh)'!M79,"")</f>
        <v>1</v>
      </c>
      <c r="N331" s="158">
        <f>IFERROR((N174+N203)/'Macroeconomy (GWh)'!N79,"")</f>
        <v>1</v>
      </c>
      <c r="O331" s="138"/>
      <c r="P331" s="138"/>
    </row>
    <row r="332" spans="1:16" x14ac:dyDescent="0.3">
      <c r="A332" s="58" t="s">
        <v>897</v>
      </c>
      <c r="B332" s="191" t="s">
        <v>103</v>
      </c>
      <c r="C332" s="158">
        <f>IFERROR((C175+C188+C204+C206)/'Macroeconomy (GWh)'!C80,"")</f>
        <v>1.0022334597916109</v>
      </c>
      <c r="D332" s="158">
        <f>IFERROR((D175+D188+D204+D206)/'Macroeconomy (GWh)'!D80,"")</f>
        <v>1.0015682656826568</v>
      </c>
      <c r="E332" s="158">
        <f>IFERROR((E175+E188+E204+E206)/'Macroeconomy (GWh)'!E80,"")</f>
        <v>0.99999999999999989</v>
      </c>
      <c r="F332" s="158">
        <f>IFERROR((F175+F188+F204+F206)/'Macroeconomy (GWh)'!F80,"")</f>
        <v>1</v>
      </c>
      <c r="G332" s="158">
        <f>IFERROR((G175+G188+G204+G206)/'Macroeconomy (GWh)'!G80,"")</f>
        <v>1.0000197833720756</v>
      </c>
      <c r="H332" s="158">
        <f>IFERROR((H175+H188+H204+H206)/'Macroeconomy (GWh)'!H80,"")</f>
        <v>1.000018988844054</v>
      </c>
      <c r="I332" s="158">
        <f>IFERROR((I175+I188+I204+I206)/'Macroeconomy (GWh)'!I80,"")</f>
        <v>1.0006842144680852</v>
      </c>
      <c r="J332" s="158">
        <f>IFERROR((J175+J188+J204+J206)/'Macroeconomy (GWh)'!J80,"")</f>
        <v>0.99999746122599709</v>
      </c>
      <c r="K332" s="158">
        <f>IFERROR((K175+K188+K204+K206)/'Macroeconomy (GWh)'!K80,"")</f>
        <v>0.99971064798021458</v>
      </c>
      <c r="L332" s="158">
        <f>IFERROR((L175+L188+L204+L206)/'Macroeconomy (GWh)'!L80,"")</f>
        <v>0.99991740244944438</v>
      </c>
      <c r="M332" s="158">
        <f>IFERROR((M175+M188+M204+M206)/'Macroeconomy (GWh)'!M80,"")</f>
        <v>0.99995207744285231</v>
      </c>
      <c r="N332" s="158">
        <f>IFERROR((N175+N188+N204+N206)/'Macroeconomy (GWh)'!N80,"")</f>
        <v>1.0000433745391455</v>
      </c>
      <c r="O332" s="138"/>
      <c r="P332" s="138"/>
    </row>
    <row r="333" spans="1:16" x14ac:dyDescent="0.3">
      <c r="A333" s="58" t="s">
        <v>898</v>
      </c>
      <c r="B333" s="191" t="s">
        <v>103</v>
      </c>
      <c r="C333" s="158">
        <f>IFERROR(C176/'Macroeconomy (GWh)'!C81,"")</f>
        <v>1</v>
      </c>
      <c r="D333" s="158">
        <f>IFERROR(D176/'Macroeconomy (GWh)'!D81,"")</f>
        <v>1</v>
      </c>
      <c r="E333" s="158">
        <f>IFERROR(E176/'Macroeconomy (GWh)'!E81,"")</f>
        <v>1</v>
      </c>
      <c r="F333" s="158">
        <f>IFERROR(F176/'Macroeconomy (GWh)'!F81,"")</f>
        <v>1</v>
      </c>
      <c r="G333" s="158">
        <f>IFERROR(G176/'Macroeconomy (GWh)'!G81,"")</f>
        <v>1</v>
      </c>
      <c r="H333" s="158">
        <f>IFERROR(H176/'Macroeconomy (GWh)'!H81,"")</f>
        <v>1</v>
      </c>
      <c r="I333" s="158">
        <f>IFERROR(I176/'Macroeconomy (GWh)'!I81,"")</f>
        <v>1</v>
      </c>
      <c r="J333" s="158">
        <f>IFERROR(J176/'Macroeconomy (GWh)'!J81,"")</f>
        <v>1</v>
      </c>
      <c r="K333" s="158">
        <f>IFERROR(K176/'Macroeconomy (GWh)'!K81,"")</f>
        <v>0.99887795416801461</v>
      </c>
      <c r="L333" s="158">
        <f>IFERROR(L176/'Macroeconomy (GWh)'!L81,"")</f>
        <v>1</v>
      </c>
      <c r="M333" s="158">
        <f>IFERROR(M176/'Macroeconomy (GWh)'!M81,"")</f>
        <v>1</v>
      </c>
      <c r="N333" s="158">
        <f>IFERROR(N176/'Macroeconomy (GWh)'!N81,"")</f>
        <v>1</v>
      </c>
      <c r="O333" s="138"/>
      <c r="P333" s="138"/>
    </row>
    <row r="334" spans="1:16" x14ac:dyDescent="0.3">
      <c r="A334" s="58" t="s">
        <v>899</v>
      </c>
      <c r="B334" s="191" t="s">
        <v>103</v>
      </c>
      <c r="C334" s="158">
        <f>IFERROR(C177/'Macroeconomy (GWh)'!C84/1000,"")</f>
        <v>1E-3</v>
      </c>
      <c r="D334" s="158">
        <f>IFERROR(D177/'Macroeconomy (GWh)'!D84/1000,"")</f>
        <v>1E-3</v>
      </c>
      <c r="E334" s="158">
        <f>IFERROR(E177/'Macroeconomy (GWh)'!E84/1000,"")</f>
        <v>1E-3</v>
      </c>
      <c r="F334" s="158">
        <f>IFERROR(F177/'Macroeconomy (GWh)'!F84/1000,"")</f>
        <v>1E-3</v>
      </c>
      <c r="G334" s="158">
        <f>IFERROR(G177/'Macroeconomy (GWh)'!G84/1000,"")</f>
        <v>1E-3</v>
      </c>
      <c r="H334" s="158">
        <f>IFERROR(H177/'Macroeconomy (GWh)'!H84/1000,"")</f>
        <v>1E-3</v>
      </c>
      <c r="I334" s="158">
        <f>IFERROR(I177/'Macroeconomy (GWh)'!I84/1000,"")</f>
        <v>1E-3</v>
      </c>
      <c r="J334" s="158">
        <f>IFERROR(J177/'Macroeconomy (GWh)'!J84/1000,"")</f>
        <v>1E-3</v>
      </c>
      <c r="K334" s="158">
        <f>IFERROR(K177/'Macroeconomy (GWh)'!K84/1000,"")</f>
        <v>1E-3</v>
      </c>
      <c r="L334" s="158">
        <f>IFERROR(L177/'Macroeconomy (GWh)'!L84/1000,"")</f>
        <v>1E-3</v>
      </c>
      <c r="M334" s="158">
        <f>IFERROR(M177/'Macroeconomy (GWh)'!M84/1000,"")</f>
        <v>1E-3</v>
      </c>
      <c r="N334" s="158">
        <f>IFERROR(N177/'Macroeconomy (GWh)'!N84/1000,"")</f>
        <v>1E-3</v>
      </c>
      <c r="O334" s="138"/>
      <c r="P334" s="138"/>
    </row>
    <row r="335" spans="1:16" x14ac:dyDescent="0.3">
      <c r="A335" s="58" t="s">
        <v>900</v>
      </c>
      <c r="B335" s="191" t="s">
        <v>103</v>
      </c>
      <c r="C335" s="212">
        <f>IFERROR(C179/'Macroeconomy (GWh)'!C87,"")</f>
        <v>1.011867464029093</v>
      </c>
      <c r="D335" s="212">
        <f>IFERROR(D179/'Macroeconomy (GWh)'!D87,"")</f>
        <v>1</v>
      </c>
      <c r="E335" s="212">
        <f>IFERROR(E179/'Macroeconomy (GWh)'!E87,"")</f>
        <v>1</v>
      </c>
      <c r="F335" s="212">
        <f>IFERROR(F179/'Macroeconomy (GWh)'!F87,"")</f>
        <v>1</v>
      </c>
      <c r="G335" s="212">
        <f>IFERROR(G179/'Macroeconomy (GWh)'!G87,"")</f>
        <v>1</v>
      </c>
      <c r="H335" s="212">
        <f>IFERROR(H179/'Macroeconomy (GWh)'!H87,"")</f>
        <v>1</v>
      </c>
      <c r="I335" s="212">
        <f>IFERROR(I179/'Macroeconomy (GWh)'!I87,"")</f>
        <v>1.0000000000000013</v>
      </c>
      <c r="J335" s="212">
        <f>IFERROR(J179/'Macroeconomy (GWh)'!J87,"")</f>
        <v>1</v>
      </c>
      <c r="K335" s="212">
        <f>IFERROR(K179/'Macroeconomy (GWh)'!K87,"")</f>
        <v>1</v>
      </c>
      <c r="L335" s="212">
        <f>IFERROR(L179/'Macroeconomy (GWh)'!L87,"")</f>
        <v>1</v>
      </c>
      <c r="M335" s="212">
        <f>IFERROR(M179/'Macroeconomy (GWh)'!M87,"")</f>
        <v>1</v>
      </c>
      <c r="N335" s="212">
        <f>IFERROR(N179/'Macroeconomy (GWh)'!N87,"")</f>
        <v>1</v>
      </c>
      <c r="O335" s="138"/>
      <c r="P335" s="159" t="s">
        <v>901</v>
      </c>
    </row>
    <row r="336" spans="1:16" x14ac:dyDescent="0.3">
      <c r="A336" s="143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x14ac:dyDescent="0.3">
      <c r="A337" s="80" t="s">
        <v>902</v>
      </c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x14ac:dyDescent="0.3">
      <c r="A338" s="80" t="s">
        <v>903</v>
      </c>
      <c r="B338" s="283" t="s">
        <v>226</v>
      </c>
      <c r="C338" s="155">
        <f t="shared" ref="C338:N338" si="33">C183/1000</f>
        <v>8.0341662222222219</v>
      </c>
      <c r="D338" s="155">
        <f t="shared" si="33"/>
        <v>8.1927304444444413</v>
      </c>
      <c r="E338" s="155">
        <f t="shared" si="33"/>
        <v>8.3424959166666657</v>
      </c>
      <c r="F338" s="155">
        <f t="shared" si="33"/>
        <v>8.1855486111111091</v>
      </c>
      <c r="G338" s="155">
        <f t="shared" si="33"/>
        <v>8.2708995902777787</v>
      </c>
      <c r="H338" s="155">
        <f t="shared" si="33"/>
        <v>8.4993820277777772</v>
      </c>
      <c r="I338" s="155">
        <f t="shared" si="33"/>
        <v>8.7561666666666653</v>
      </c>
      <c r="J338" s="155">
        <f t="shared" si="33"/>
        <v>9.0459999999999994</v>
      </c>
      <c r="K338" s="155">
        <f t="shared" si="33"/>
        <v>9.3883888888888887</v>
      </c>
      <c r="L338" s="155">
        <f t="shared" si="33"/>
        <v>9.4636111111111116</v>
      </c>
      <c r="M338" s="155">
        <f t="shared" si="33"/>
        <v>8.9591666666666665</v>
      </c>
      <c r="N338" s="155">
        <f t="shared" si="33"/>
        <v>9.4702777777777776</v>
      </c>
      <c r="O338" s="58"/>
      <c r="P338" s="58"/>
    </row>
    <row r="339" spans="1:16" x14ac:dyDescent="0.3">
      <c r="A339" s="58" t="s">
        <v>904</v>
      </c>
      <c r="B339" s="191" t="s">
        <v>226</v>
      </c>
      <c r="C339" s="155">
        <v>0</v>
      </c>
      <c r="D339" s="155">
        <v>0</v>
      </c>
      <c r="E339" s="155">
        <v>0</v>
      </c>
      <c r="F339" s="155">
        <v>0</v>
      </c>
      <c r="G339" s="155">
        <v>0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0</v>
      </c>
      <c r="O339" s="58"/>
      <c r="P339" s="58"/>
    </row>
    <row r="340" spans="1:16" x14ac:dyDescent="0.3">
      <c r="A340" s="58" t="s">
        <v>905</v>
      </c>
      <c r="B340" s="191" t="s">
        <v>226</v>
      </c>
      <c r="C340" s="206">
        <v>0</v>
      </c>
      <c r="D340" s="206">
        <v>0</v>
      </c>
      <c r="E340" s="206">
        <v>0</v>
      </c>
      <c r="F340" s="206">
        <v>0</v>
      </c>
      <c r="G340" s="206">
        <v>0</v>
      </c>
      <c r="H340" s="206">
        <v>0</v>
      </c>
      <c r="I340" s="206">
        <v>0</v>
      </c>
      <c r="J340" s="206">
        <v>0</v>
      </c>
      <c r="K340" s="206">
        <v>0</v>
      </c>
      <c r="L340" s="206">
        <v>0</v>
      </c>
      <c r="M340" s="206">
        <v>0</v>
      </c>
      <c r="N340" s="206">
        <v>0</v>
      </c>
      <c r="O340" s="58"/>
      <c r="P340" s="58"/>
    </row>
    <row r="341" spans="1:16" x14ac:dyDescent="0.3">
      <c r="A341" s="58"/>
      <c r="B341" s="191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58"/>
      <c r="P341" s="58"/>
    </row>
    <row r="342" spans="1:16" x14ac:dyDescent="0.3">
      <c r="A342" s="58" t="s">
        <v>906</v>
      </c>
      <c r="B342" s="191" t="s">
        <v>226</v>
      </c>
      <c r="C342" s="280">
        <f t="shared" ref="C342:N342" si="34">C222/1000</f>
        <v>4.153761853060959</v>
      </c>
      <c r="D342" s="280">
        <f t="shared" si="34"/>
        <v>4.1587368169883883</v>
      </c>
      <c r="E342" s="280">
        <f t="shared" si="34"/>
        <v>4.2433630407929677</v>
      </c>
      <c r="F342" s="280">
        <f t="shared" si="34"/>
        <v>4.183505113203168</v>
      </c>
      <c r="G342" s="280">
        <f t="shared" si="34"/>
        <v>4.2891251244004058</v>
      </c>
      <c r="H342" s="280">
        <f t="shared" si="34"/>
        <v>4.3863384585530802</v>
      </c>
      <c r="I342" s="280">
        <f t="shared" si="34"/>
        <v>4.547422721111551</v>
      </c>
      <c r="J342" s="280">
        <f t="shared" si="34"/>
        <v>4.7084886527676408</v>
      </c>
      <c r="K342" s="280">
        <f t="shared" si="34"/>
        <v>4.8655008566975253</v>
      </c>
      <c r="L342" s="280">
        <f t="shared" si="34"/>
        <v>4.8851881267830688</v>
      </c>
      <c r="M342" s="280">
        <f t="shared" si="34"/>
        <v>4.3560197548049198</v>
      </c>
      <c r="N342" s="280">
        <f t="shared" si="34"/>
        <v>0</v>
      </c>
      <c r="O342" s="29"/>
      <c r="P342" s="29"/>
    </row>
    <row r="343" spans="1:16" x14ac:dyDescent="0.3">
      <c r="A343" s="58" t="s">
        <v>907</v>
      </c>
      <c r="B343" s="191" t="s">
        <v>226</v>
      </c>
      <c r="C343" s="280">
        <f t="shared" ref="C343:N347" si="35">C214/1000</f>
        <v>2.7585257485804595</v>
      </c>
      <c r="D343" s="280">
        <f t="shared" si="35"/>
        <v>2.5597984731565586</v>
      </c>
      <c r="E343" s="280">
        <f t="shared" si="35"/>
        <v>2.4532484281840992</v>
      </c>
      <c r="F343" s="280">
        <f t="shared" si="35"/>
        <v>2.3001320953882738</v>
      </c>
      <c r="G343" s="280">
        <f t="shared" si="35"/>
        <v>2.3320119630814768</v>
      </c>
      <c r="H343" s="280">
        <f t="shared" si="35"/>
        <v>2.3024005541819759</v>
      </c>
      <c r="I343" s="280">
        <f t="shared" si="35"/>
        <v>2.4219757410096681</v>
      </c>
      <c r="J343" s="280">
        <f t="shared" si="35"/>
        <v>2.5326563979864702</v>
      </c>
      <c r="K343" s="280">
        <f t="shared" si="35"/>
        <v>2.6141759342006723</v>
      </c>
      <c r="L343" s="280">
        <f t="shared" si="35"/>
        <v>2.6562152606517939</v>
      </c>
      <c r="M343" s="280">
        <f t="shared" si="35"/>
        <v>2.0833227118078987</v>
      </c>
      <c r="N343" s="280">
        <f t="shared" si="35"/>
        <v>0</v>
      </c>
      <c r="O343" s="29"/>
      <c r="P343" s="29"/>
    </row>
    <row r="344" spans="1:16" x14ac:dyDescent="0.3">
      <c r="A344" s="58" t="s">
        <v>125</v>
      </c>
      <c r="B344" s="191" t="s">
        <v>226</v>
      </c>
      <c r="C344" s="280">
        <f t="shared" si="35"/>
        <v>1.3952361044804997</v>
      </c>
      <c r="D344" s="280">
        <f t="shared" si="35"/>
        <v>1.5989383438318303</v>
      </c>
      <c r="E344" s="280">
        <f t="shared" si="35"/>
        <v>1.7901146126088681</v>
      </c>
      <c r="F344" s="280">
        <f t="shared" si="35"/>
        <v>1.8833730178148944</v>
      </c>
      <c r="G344" s="280">
        <f t="shared" si="35"/>
        <v>1.9571131613189299</v>
      </c>
      <c r="H344" s="280">
        <f t="shared" si="35"/>
        <v>2.0839379043711044</v>
      </c>
      <c r="I344" s="280">
        <f t="shared" si="35"/>
        <v>2.1254469801018829</v>
      </c>
      <c r="J344" s="280">
        <f t="shared" si="35"/>
        <v>2.1758322547811706</v>
      </c>
      <c r="K344" s="280">
        <f t="shared" si="35"/>
        <v>2.2513249224968535</v>
      </c>
      <c r="L344" s="280">
        <f t="shared" si="35"/>
        <v>2.2289728661312744</v>
      </c>
      <c r="M344" s="280">
        <f t="shared" si="35"/>
        <v>2.272697042997021</v>
      </c>
      <c r="N344" s="280">
        <f t="shared" si="35"/>
        <v>0</v>
      </c>
      <c r="O344" s="29"/>
      <c r="P344" s="29"/>
    </row>
    <row r="345" spans="1:16" x14ac:dyDescent="0.3">
      <c r="A345" s="58" t="s">
        <v>126</v>
      </c>
      <c r="B345" s="191" t="s">
        <v>226</v>
      </c>
      <c r="C345" s="280">
        <f t="shared" si="35"/>
        <v>0</v>
      </c>
      <c r="D345" s="280">
        <f t="shared" si="35"/>
        <v>0</v>
      </c>
      <c r="E345" s="280">
        <f t="shared" si="35"/>
        <v>0</v>
      </c>
      <c r="F345" s="280">
        <f t="shared" si="35"/>
        <v>0</v>
      </c>
      <c r="G345" s="280">
        <f t="shared" si="35"/>
        <v>0</v>
      </c>
      <c r="H345" s="280">
        <f t="shared" si="35"/>
        <v>0</v>
      </c>
      <c r="I345" s="280">
        <f t="shared" si="35"/>
        <v>0</v>
      </c>
      <c r="J345" s="280">
        <f t="shared" si="35"/>
        <v>0</v>
      </c>
      <c r="K345" s="280">
        <f t="shared" si="35"/>
        <v>0</v>
      </c>
      <c r="L345" s="280">
        <f t="shared" si="35"/>
        <v>0</v>
      </c>
      <c r="M345" s="280">
        <f t="shared" si="35"/>
        <v>0</v>
      </c>
      <c r="N345" s="280">
        <f t="shared" si="35"/>
        <v>0</v>
      </c>
      <c r="O345" s="29"/>
      <c r="P345" s="29"/>
    </row>
    <row r="346" spans="1:16" x14ac:dyDescent="0.3">
      <c r="A346" s="58" t="s">
        <v>908</v>
      </c>
      <c r="B346" s="191" t="s">
        <v>226</v>
      </c>
      <c r="C346" s="280">
        <f t="shared" si="35"/>
        <v>0</v>
      </c>
      <c r="D346" s="280">
        <f t="shared" si="35"/>
        <v>0</v>
      </c>
      <c r="E346" s="280">
        <f t="shared" si="35"/>
        <v>0</v>
      </c>
      <c r="F346" s="280">
        <f t="shared" si="35"/>
        <v>0</v>
      </c>
      <c r="G346" s="280">
        <f t="shared" si="35"/>
        <v>0</v>
      </c>
      <c r="H346" s="280">
        <f t="shared" si="35"/>
        <v>0</v>
      </c>
      <c r="I346" s="280">
        <f t="shared" si="35"/>
        <v>0</v>
      </c>
      <c r="J346" s="280">
        <f t="shared" si="35"/>
        <v>0</v>
      </c>
      <c r="K346" s="280">
        <f t="shared" si="35"/>
        <v>0</v>
      </c>
      <c r="L346" s="280">
        <f t="shared" si="35"/>
        <v>0</v>
      </c>
      <c r="M346" s="280">
        <f t="shared" si="35"/>
        <v>0</v>
      </c>
      <c r="N346" s="280">
        <f t="shared" si="35"/>
        <v>0</v>
      </c>
      <c r="O346" s="29"/>
      <c r="P346" s="29"/>
    </row>
    <row r="347" spans="1:16" x14ac:dyDescent="0.3">
      <c r="A347" s="58" t="s">
        <v>909</v>
      </c>
      <c r="B347" s="191" t="s">
        <v>226</v>
      </c>
      <c r="C347" s="280">
        <f t="shared" si="35"/>
        <v>0</v>
      </c>
      <c r="D347" s="280">
        <f t="shared" si="35"/>
        <v>0</v>
      </c>
      <c r="E347" s="280">
        <f t="shared" si="35"/>
        <v>0</v>
      </c>
      <c r="F347" s="280">
        <f t="shared" si="35"/>
        <v>0</v>
      </c>
      <c r="G347" s="280">
        <f t="shared" si="35"/>
        <v>0</v>
      </c>
      <c r="H347" s="280">
        <f t="shared" si="35"/>
        <v>0</v>
      </c>
      <c r="I347" s="280">
        <f t="shared" si="35"/>
        <v>0</v>
      </c>
      <c r="J347" s="280">
        <f t="shared" si="35"/>
        <v>0</v>
      </c>
      <c r="K347" s="280">
        <f t="shared" si="35"/>
        <v>0</v>
      </c>
      <c r="L347" s="280">
        <f t="shared" si="35"/>
        <v>0</v>
      </c>
      <c r="M347" s="280">
        <f t="shared" si="35"/>
        <v>0</v>
      </c>
      <c r="N347" s="280">
        <f t="shared" si="35"/>
        <v>0</v>
      </c>
      <c r="O347" s="29"/>
      <c r="P347" s="29"/>
    </row>
    <row r="348" spans="1:16" x14ac:dyDescent="0.3">
      <c r="A348" s="58" t="s">
        <v>205</v>
      </c>
      <c r="B348" s="191" t="s">
        <v>226</v>
      </c>
      <c r="C348" s="280">
        <f t="shared" ref="C348:N348" si="36">C221/1000</f>
        <v>0</v>
      </c>
      <c r="D348" s="280">
        <f t="shared" si="36"/>
        <v>0</v>
      </c>
      <c r="E348" s="280">
        <f t="shared" si="36"/>
        <v>0</v>
      </c>
      <c r="F348" s="280">
        <f t="shared" si="36"/>
        <v>0</v>
      </c>
      <c r="G348" s="280">
        <f t="shared" si="36"/>
        <v>0</v>
      </c>
      <c r="H348" s="280">
        <f t="shared" si="36"/>
        <v>0</v>
      </c>
      <c r="I348" s="280">
        <f t="shared" si="36"/>
        <v>0</v>
      </c>
      <c r="J348" s="280">
        <f t="shared" si="36"/>
        <v>0</v>
      </c>
      <c r="K348" s="280">
        <f t="shared" si="36"/>
        <v>0</v>
      </c>
      <c r="L348" s="280">
        <f t="shared" si="36"/>
        <v>0</v>
      </c>
      <c r="M348" s="280">
        <f t="shared" si="36"/>
        <v>0</v>
      </c>
      <c r="N348" s="280">
        <f t="shared" si="36"/>
        <v>0</v>
      </c>
      <c r="O348" s="29"/>
      <c r="P348" s="29"/>
    </row>
    <row r="349" spans="1:16" x14ac:dyDescent="0.3">
      <c r="A349" s="58"/>
      <c r="B349" s="191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9"/>
      <c r="P349" s="29"/>
    </row>
    <row r="350" spans="1:16" x14ac:dyDescent="0.3">
      <c r="A350" s="58" t="s">
        <v>910</v>
      </c>
      <c r="B350" s="191" t="s">
        <v>226</v>
      </c>
      <c r="C350" s="279">
        <f t="shared" ref="C350:N350" si="37">C230/1000</f>
        <v>1.6049745841485288E-2</v>
      </c>
      <c r="D350" s="279">
        <f t="shared" si="37"/>
        <v>1.7354891786520641E-2</v>
      </c>
      <c r="E350" s="279">
        <f t="shared" si="37"/>
        <v>2.4979779520840267E-2</v>
      </c>
      <c r="F350" s="279">
        <f t="shared" si="37"/>
        <v>2.5622646616530811E-2</v>
      </c>
      <c r="G350" s="279">
        <f t="shared" si="37"/>
        <v>2.822222754273199E-2</v>
      </c>
      <c r="H350" s="279">
        <f t="shared" si="37"/>
        <v>2.9619650643011711E-2</v>
      </c>
      <c r="I350" s="279">
        <f t="shared" si="37"/>
        <v>3.2738991765343686E-2</v>
      </c>
      <c r="J350" s="279">
        <f t="shared" si="37"/>
        <v>3.5769085601778321E-2</v>
      </c>
      <c r="K350" s="279">
        <f t="shared" si="37"/>
        <v>3.8602066308755054E-2</v>
      </c>
      <c r="L350" s="279">
        <f t="shared" si="37"/>
        <v>3.9534043899668941E-2</v>
      </c>
      <c r="M350" s="279">
        <f t="shared" si="37"/>
        <v>3.9542000000000001E-2</v>
      </c>
      <c r="N350" s="279">
        <f t="shared" si="37"/>
        <v>0</v>
      </c>
      <c r="O350" s="29"/>
      <c r="P350" s="29"/>
    </row>
    <row r="351" spans="1:16" x14ac:dyDescent="0.3">
      <c r="A351" s="58" t="s">
        <v>911</v>
      </c>
      <c r="B351" s="191" t="s">
        <v>226</v>
      </c>
      <c r="C351" s="279">
        <f t="shared" ref="C351:N351" si="38">C239/1000</f>
        <v>0.26164201624973599</v>
      </c>
      <c r="D351" s="279">
        <f t="shared" si="38"/>
        <v>0.2671961883790655</v>
      </c>
      <c r="E351" s="279">
        <f t="shared" si="38"/>
        <v>0.27043112317761603</v>
      </c>
      <c r="F351" s="279">
        <f t="shared" si="38"/>
        <v>0.26249495501793746</v>
      </c>
      <c r="G351" s="279">
        <f t="shared" si="38"/>
        <v>0.2524974521372837</v>
      </c>
      <c r="H351" s="279">
        <f t="shared" si="38"/>
        <v>0.25395655333027345</v>
      </c>
      <c r="I351" s="279">
        <f t="shared" si="38"/>
        <v>0.24191294822798459</v>
      </c>
      <c r="J351" s="279">
        <f t="shared" si="38"/>
        <v>0.24333188133416736</v>
      </c>
      <c r="K351" s="279">
        <f t="shared" si="38"/>
        <v>0.23914929189129136</v>
      </c>
      <c r="L351" s="279">
        <f t="shared" si="38"/>
        <v>0.22242937500632476</v>
      </c>
      <c r="M351" s="279">
        <f t="shared" si="38"/>
        <v>0.21392287426541909</v>
      </c>
      <c r="N351" s="279">
        <f t="shared" si="38"/>
        <v>0</v>
      </c>
      <c r="O351" s="29"/>
      <c r="P351" s="29"/>
    </row>
    <row r="352" spans="1:16" x14ac:dyDescent="0.3">
      <c r="A352" s="58" t="s">
        <v>912</v>
      </c>
      <c r="B352" s="191" t="s">
        <v>226</v>
      </c>
      <c r="C352" s="279">
        <f t="shared" ref="C352:N352" si="39">(C249+C259)/1000</f>
        <v>3.5472881626255974</v>
      </c>
      <c r="D352" s="279">
        <f t="shared" si="39"/>
        <v>3.6976487695126905</v>
      </c>
      <c r="E352" s="279">
        <f t="shared" si="39"/>
        <v>3.7422182787307965</v>
      </c>
      <c r="F352" s="279">
        <f t="shared" si="39"/>
        <v>3.6379061740512539</v>
      </c>
      <c r="G352" s="279">
        <f t="shared" si="39"/>
        <v>3.6104163070306896</v>
      </c>
      <c r="H352" s="279">
        <f t="shared" si="39"/>
        <v>3.7216142263625231</v>
      </c>
      <c r="I352" s="279">
        <f t="shared" si="39"/>
        <v>3.7979253388951197</v>
      </c>
      <c r="J352" s="279">
        <f t="shared" si="39"/>
        <v>3.9029659358519675</v>
      </c>
      <c r="K352" s="279">
        <f t="shared" si="39"/>
        <v>4.0428588962135388</v>
      </c>
      <c r="L352" s="279">
        <f t="shared" si="39"/>
        <v>4.01007067653316</v>
      </c>
      <c r="M352" s="279">
        <f t="shared" si="39"/>
        <v>3.946505115005424</v>
      </c>
      <c r="N352" s="279">
        <f t="shared" si="39"/>
        <v>0</v>
      </c>
      <c r="O352" s="29"/>
      <c r="P352" s="29"/>
    </row>
    <row r="353" spans="1:16" x14ac:dyDescent="0.3">
      <c r="A353" s="24" t="s">
        <v>913</v>
      </c>
      <c r="B353" s="25" t="s">
        <v>103</v>
      </c>
      <c r="C353" s="208">
        <f>IFERROR((C340+C342+C350+C351+C352)/C338,"")</f>
        <v>0.99310140680296832</v>
      </c>
      <c r="D353" s="208">
        <f t="shared" ref="D353:N353" si="40">IFERROR((D340+D342+D350+D351+D352)/D338,"")</f>
        <v>0.99367808105869049</v>
      </c>
      <c r="E353" s="208">
        <f t="shared" si="40"/>
        <v>0.99262766262533342</v>
      </c>
      <c r="F353" s="208">
        <f t="shared" si="40"/>
        <v>0.99071293497432422</v>
      </c>
      <c r="G353" s="208">
        <f t="shared" si="40"/>
        <v>0.98904127922515095</v>
      </c>
      <c r="H353" s="208">
        <f t="shared" si="40"/>
        <v>0.98731047286303852</v>
      </c>
      <c r="I353" s="208">
        <f t="shared" si="40"/>
        <v>0.98444905495174839</v>
      </c>
      <c r="J353" s="208">
        <f t="shared" si="40"/>
        <v>0.98281622325398577</v>
      </c>
      <c r="K353" s="208">
        <f t="shared" si="40"/>
        <v>0.97845447390689433</v>
      </c>
      <c r="L353" s="208">
        <f t="shared" si="40"/>
        <v>0.96762452669582311</v>
      </c>
      <c r="M353" s="208">
        <f t="shared" si="40"/>
        <v>0.95499839018611443</v>
      </c>
      <c r="N353" s="208">
        <f t="shared" si="40"/>
        <v>0</v>
      </c>
      <c r="O353" s="29"/>
      <c r="P353" s="29"/>
    </row>
    <row r="354" spans="1:16" x14ac:dyDescent="0.3">
      <c r="A354" s="58"/>
      <c r="B354" s="5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x14ac:dyDescent="0.3">
      <c r="A355" s="154" t="s">
        <v>914</v>
      </c>
      <c r="B355" s="13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x14ac:dyDescent="0.3">
      <c r="A356" s="58" t="s">
        <v>915</v>
      </c>
      <c r="B356" s="191" t="s">
        <v>953</v>
      </c>
      <c r="C356" s="280">
        <v>0.83976927088135533</v>
      </c>
      <c r="D356" s="280">
        <v>0.83539707673805741</v>
      </c>
      <c r="E356" s="280">
        <v>0.8320323989284002</v>
      </c>
      <c r="F356" s="280">
        <v>0.82948288169449436</v>
      </c>
      <c r="G356" s="280">
        <v>0.82893330704747714</v>
      </c>
      <c r="H356" s="280">
        <v>0.82724123590424714</v>
      </c>
      <c r="I356" s="280">
        <v>0.82793436415728439</v>
      </c>
      <c r="J356" s="280">
        <v>0.82841024214527947</v>
      </c>
      <c r="K356" s="280">
        <v>0.82835593313156963</v>
      </c>
      <c r="L356" s="280">
        <v>0.82893555115063366</v>
      </c>
      <c r="M356" s="280">
        <v>0.82304366247556371</v>
      </c>
      <c r="N356" s="275"/>
      <c r="O356" s="18" t="s">
        <v>813</v>
      </c>
      <c r="P356" s="29"/>
    </row>
    <row r="357" spans="1:16" x14ac:dyDescent="0.3">
      <c r="A357" s="58" t="s">
        <v>917</v>
      </c>
      <c r="B357" s="191" t="s">
        <v>853</v>
      </c>
      <c r="C357" s="280">
        <f t="shared" ref="C357:N357" si="41">IF(C267="","",C267)</f>
        <v>8.0692292640657115</v>
      </c>
      <c r="D357" s="280">
        <f t="shared" si="41"/>
        <v>7.9681318282113223</v>
      </c>
      <c r="E357" s="280">
        <f t="shared" si="41"/>
        <v>7.9690511915958666</v>
      </c>
      <c r="F357" s="280">
        <f t="shared" si="41"/>
        <v>7.9305784115142401</v>
      </c>
      <c r="G357" s="280">
        <f t="shared" si="41"/>
        <v>7.8494549614584557</v>
      </c>
      <c r="H357" s="280">
        <f t="shared" si="41"/>
        <v>7.7441303439169591</v>
      </c>
      <c r="I357" s="280">
        <f t="shared" si="41"/>
        <v>7.7582619729558973</v>
      </c>
      <c r="J357" s="280">
        <f t="shared" si="41"/>
        <v>7.7412961274610543</v>
      </c>
      <c r="K357" s="280">
        <f t="shared" si="41"/>
        <v>7.7242904065337052</v>
      </c>
      <c r="L357" s="280">
        <f t="shared" si="41"/>
        <v>7.7378371586419021</v>
      </c>
      <c r="M357" s="280">
        <f t="shared" si="41"/>
        <v>7.5809732310872304</v>
      </c>
      <c r="N357" s="280" t="str">
        <f t="shared" si="41"/>
        <v/>
      </c>
      <c r="O357" s="29"/>
      <c r="P357" s="29"/>
    </row>
    <row r="358" spans="1:16" x14ac:dyDescent="0.3">
      <c r="A358" s="24"/>
      <c r="B358" s="25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8" x14ac:dyDescent="0.3">
      <c r="A359" s="153" t="s">
        <v>216</v>
      </c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</row>
    <row r="360" spans="1:16" x14ac:dyDescent="0.3">
      <c r="A360" s="58" t="s">
        <v>918</v>
      </c>
      <c r="B360" s="191" t="s">
        <v>954</v>
      </c>
      <c r="C360" s="280">
        <f t="shared" ref="C360:N360" si="42">IFERROR(C342/C8*1000,"")</f>
        <v>7.515400494049139</v>
      </c>
      <c r="D360" s="280">
        <f t="shared" si="42"/>
        <v>7.245186092314265</v>
      </c>
      <c r="E360" s="280">
        <f t="shared" si="42"/>
        <v>7.0476051167463334</v>
      </c>
      <c r="F360" s="280">
        <f t="shared" si="42"/>
        <v>6.6563327179048013</v>
      </c>
      <c r="G360" s="280">
        <f t="shared" si="42"/>
        <v>6.5683386284845424</v>
      </c>
      <c r="H360" s="280">
        <f t="shared" si="42"/>
        <v>6.4829122946394921</v>
      </c>
      <c r="I360" s="280">
        <f t="shared" si="42"/>
        <v>6.4676756096025469</v>
      </c>
      <c r="J360" s="280">
        <f t="shared" si="42"/>
        <v>6.4864150058791035</v>
      </c>
      <c r="K360" s="280">
        <f t="shared" si="42"/>
        <v>6.5177506452746492</v>
      </c>
      <c r="L360" s="280">
        <f t="shared" si="42"/>
        <v>6.1456637649805872</v>
      </c>
      <c r="M360" s="280">
        <f t="shared" si="42"/>
        <v>5.3864470814948922</v>
      </c>
      <c r="N360" s="280">
        <f t="shared" si="42"/>
        <v>0</v>
      </c>
      <c r="O360" s="29"/>
      <c r="P360" s="29"/>
    </row>
    <row r="361" spans="1:16" x14ac:dyDescent="0.3">
      <c r="A361" s="58" t="s">
        <v>920</v>
      </c>
      <c r="B361" s="191" t="s">
        <v>954</v>
      </c>
      <c r="C361" s="280">
        <f>IFERROR(C343/C14*1000,"")</f>
        <v>6.6378050536372468</v>
      </c>
      <c r="D361" s="280">
        <f t="shared" ref="D361:N362" si="43">IFERROR(D343/D14*1000,"")</f>
        <v>6.0947582694203781</v>
      </c>
      <c r="E361" s="280">
        <f t="shared" si="43"/>
        <v>5.7818723266181928</v>
      </c>
      <c r="F361" s="280">
        <f t="shared" si="43"/>
        <v>5.3943060398411671</v>
      </c>
      <c r="G361" s="280">
        <f t="shared" si="43"/>
        <v>5.4359253218682442</v>
      </c>
      <c r="H361" s="280">
        <f t="shared" si="43"/>
        <v>5.3038483164754107</v>
      </c>
      <c r="I361" s="280">
        <f t="shared" si="43"/>
        <v>5.4659800067923001</v>
      </c>
      <c r="J361" s="280">
        <f t="shared" si="43"/>
        <v>5.6368938303727356</v>
      </c>
      <c r="K361" s="280">
        <f t="shared" si="43"/>
        <v>5.7708078017674884</v>
      </c>
      <c r="L361" s="280">
        <f t="shared" si="43"/>
        <v>5.5662515939895094</v>
      </c>
      <c r="M361" s="280">
        <f t="shared" si="43"/>
        <v>4.3575041033421851</v>
      </c>
      <c r="N361" s="280">
        <f t="shared" si="43"/>
        <v>0</v>
      </c>
      <c r="O361" s="29"/>
      <c r="P361" s="29"/>
    </row>
    <row r="362" spans="1:16" x14ac:dyDescent="0.3">
      <c r="A362" s="58" t="s">
        <v>921</v>
      </c>
      <c r="B362" s="191" t="s">
        <v>954</v>
      </c>
      <c r="C362" s="280">
        <f>IFERROR(C344/C15*1000,"")</f>
        <v>10.178113132873024</v>
      </c>
      <c r="D362" s="280">
        <f t="shared" si="43"/>
        <v>10.382716518388509</v>
      </c>
      <c r="E362" s="280">
        <f t="shared" si="43"/>
        <v>10.102226933458624</v>
      </c>
      <c r="F362" s="280">
        <f t="shared" si="43"/>
        <v>9.3560507591400608</v>
      </c>
      <c r="G362" s="280">
        <f t="shared" si="43"/>
        <v>8.7881147791599918</v>
      </c>
      <c r="H362" s="280">
        <f t="shared" si="43"/>
        <v>8.6470452463531302</v>
      </c>
      <c r="I362" s="280">
        <f t="shared" si="43"/>
        <v>8.2254140096822095</v>
      </c>
      <c r="J362" s="280">
        <f t="shared" si="43"/>
        <v>7.9178757452007655</v>
      </c>
      <c r="K362" s="280">
        <f t="shared" si="43"/>
        <v>7.7205930126778233</v>
      </c>
      <c r="L362" s="280">
        <f t="shared" si="43"/>
        <v>7.076104336924681</v>
      </c>
      <c r="M362" s="280">
        <f t="shared" si="43"/>
        <v>6.9565259963177875</v>
      </c>
      <c r="N362" s="280">
        <f t="shared" si="43"/>
        <v>0</v>
      </c>
      <c r="O362" s="29"/>
      <c r="P362" s="29"/>
    </row>
    <row r="363" spans="1:16" x14ac:dyDescent="0.3">
      <c r="A363" s="58" t="s">
        <v>922</v>
      </c>
      <c r="B363" s="191" t="s">
        <v>853</v>
      </c>
      <c r="C363" s="280">
        <f>IFERROR((C268*C14+C269*C15)/(C14+C15),"")</f>
        <v>8.3038770286971726</v>
      </c>
      <c r="D363" s="280">
        <f t="shared" ref="D363:N363" si="44">IFERROR((D268*D14+D269*D15)/(D14+D15),"")</f>
        <v>8.2022145092255023</v>
      </c>
      <c r="E363" s="280">
        <f t="shared" si="44"/>
        <v>8.2649739500606767</v>
      </c>
      <c r="F363" s="280">
        <f t="shared" si="44"/>
        <v>8.2104614112406953</v>
      </c>
      <c r="G363" s="280">
        <f t="shared" si="44"/>
        <v>8.1368106335227122</v>
      </c>
      <c r="H363" s="280">
        <f t="shared" si="44"/>
        <v>8.0172131366049086</v>
      </c>
      <c r="I363" s="280">
        <f t="shared" si="44"/>
        <v>8.0095396799156404</v>
      </c>
      <c r="J363" s="280">
        <f t="shared" si="44"/>
        <v>7.9384134893923335</v>
      </c>
      <c r="K363" s="280">
        <f t="shared" si="44"/>
        <v>7.9698859623424951</v>
      </c>
      <c r="L363" s="280">
        <f t="shared" si="44"/>
        <v>7.9006760660532871</v>
      </c>
      <c r="M363" s="280">
        <f t="shared" si="44"/>
        <v>7.8456478770941462</v>
      </c>
      <c r="N363" s="280">
        <f t="shared" si="44"/>
        <v>0</v>
      </c>
      <c r="O363" s="29"/>
      <c r="P363" s="29"/>
    </row>
    <row r="364" spans="1:16" x14ac:dyDescent="0.3">
      <c r="A364" s="58" t="s">
        <v>923</v>
      </c>
      <c r="B364" s="191" t="s">
        <v>955</v>
      </c>
      <c r="C364" s="280">
        <f>IFERROR(C352/C164*1000,"")</f>
        <v>2.5580790096095751</v>
      </c>
      <c r="D364" s="280">
        <f t="shared" ref="D364:N364" si="45">IFERROR(D352/D164*1000,"")</f>
        <v>2.3702876727645452</v>
      </c>
      <c r="E364" s="280">
        <f t="shared" si="45"/>
        <v>2.3403491424207608</v>
      </c>
      <c r="F364" s="280">
        <f t="shared" si="45"/>
        <v>2.2851169434995313</v>
      </c>
      <c r="G364" s="280">
        <f t="shared" si="45"/>
        <v>2.3671756537048845</v>
      </c>
      <c r="H364" s="280">
        <f t="shared" si="45"/>
        <v>2.443286650710689</v>
      </c>
      <c r="I364" s="280">
        <f t="shared" si="45"/>
        <v>2.1193779792941516</v>
      </c>
      <c r="J364" s="280">
        <f t="shared" si="45"/>
        <v>2.3919629440779357</v>
      </c>
      <c r="K364" s="280">
        <f t="shared" si="45"/>
        <v>2.3978997011942695</v>
      </c>
      <c r="L364" s="280">
        <f t="shared" si="45"/>
        <v>2.3447963258877094</v>
      </c>
      <c r="M364" s="280">
        <f t="shared" si="45"/>
        <v>3.1006482676032552</v>
      </c>
      <c r="N364" s="280">
        <f t="shared" si="45"/>
        <v>0</v>
      </c>
      <c r="O364" s="29"/>
      <c r="P364" s="29"/>
    </row>
    <row r="365" spans="1:16" x14ac:dyDescent="0.3">
      <c r="A365" s="58" t="s">
        <v>925</v>
      </c>
      <c r="B365" s="191" t="s">
        <v>956</v>
      </c>
      <c r="C365" s="279">
        <f>IFERROR(C324/((C148+C149)*1.7+C165*2.5)*1000,"")</f>
        <v>3.5074206498689274E-2</v>
      </c>
      <c r="D365" s="279">
        <f t="shared" ref="D365:N365" si="46">IFERROR(D324/((D148+D149)*1.7+D165*2.5)*1000,"")</f>
        <v>2.5440795633278775E-2</v>
      </c>
      <c r="E365" s="279">
        <f t="shared" si="46"/>
        <v>2.7254421559581687E-2</v>
      </c>
      <c r="F365" s="279">
        <f t="shared" si="46"/>
        <v>2.6031949252549758E-2</v>
      </c>
      <c r="G365" s="279">
        <f t="shared" si="46"/>
        <v>2.7767935523551359E-2</v>
      </c>
      <c r="H365" s="279">
        <f t="shared" si="46"/>
        <v>2.7390537932756923E-2</v>
      </c>
      <c r="I365" s="279">
        <f t="shared" si="46"/>
        <v>2.8738045604057658E-2</v>
      </c>
      <c r="J365" s="279">
        <f t="shared" si="46"/>
        <v>3.051740374521579E-2</v>
      </c>
      <c r="K365" s="279">
        <f t="shared" si="46"/>
        <v>2.4569949160907673E-2</v>
      </c>
      <c r="L365" s="279">
        <f t="shared" si="46"/>
        <v>2.2537870545177904E-2</v>
      </c>
      <c r="M365" s="279">
        <f t="shared" si="46"/>
        <v>2.6667764417147685E-2</v>
      </c>
      <c r="N365" s="279">
        <f t="shared" si="46"/>
        <v>2.6874265216126514E-2</v>
      </c>
      <c r="O365" s="29"/>
      <c r="P365" s="29"/>
    </row>
    <row r="366" spans="1:16" x14ac:dyDescent="0.3">
      <c r="A366" s="58" t="s">
        <v>927</v>
      </c>
      <c r="B366" s="191" t="s">
        <v>957</v>
      </c>
      <c r="C366" s="279">
        <f>IFERROR((C324/((C148+C149)*1.7))/((C148+C149)*1.7+C147*2.5)/(C148+C149)*1000,"")</f>
        <v>2.5770308315975836E-6</v>
      </c>
      <c r="D366" s="278">
        <f t="shared" ref="D366:N366" si="47">IFERROR(D324/((D148+D149)*1.7+D156*2.5)/(D148+D149)*1000,"")</f>
        <v>2.4976543111589981E-3</v>
      </c>
      <c r="E366" s="278">
        <f t="shared" si="47"/>
        <v>1.9516582605720134E-3</v>
      </c>
      <c r="F366" s="278">
        <f t="shared" si="47"/>
        <v>2.0693600889151688E-3</v>
      </c>
      <c r="G366" s="278">
        <f t="shared" si="47"/>
        <v>1.2111874761006186E-3</v>
      </c>
      <c r="H366" s="278">
        <f t="shared" si="47"/>
        <v>1.1094429124454204E-3</v>
      </c>
      <c r="I366" s="278">
        <f t="shared" si="47"/>
        <v>7.6788264011598464E-4</v>
      </c>
      <c r="J366" s="278">
        <f t="shared" si="47"/>
        <v>8.389887757831011E-4</v>
      </c>
      <c r="K366" s="278">
        <f t="shared" si="47"/>
        <v>4.1350416892006471E-4</v>
      </c>
      <c r="L366" s="278">
        <f t="shared" si="47"/>
        <v>3.5006820756377789E-4</v>
      </c>
      <c r="M366" s="278">
        <f t="shared" si="47"/>
        <v>7.5476285467961405E-4</v>
      </c>
      <c r="N366" s="278">
        <f t="shared" si="47"/>
        <v>7.5087482511384748E-4</v>
      </c>
      <c r="O366" s="29"/>
      <c r="P366" s="29"/>
    </row>
    <row r="367" spans="1:16" x14ac:dyDescent="0.3">
      <c r="A367" s="58" t="s">
        <v>929</v>
      </c>
      <c r="B367" s="191" t="s">
        <v>955</v>
      </c>
      <c r="C367" s="279">
        <f>IFERROR((C324*(C165*2.5))/((C148+C149)*1.7+C165*2.5)/C165*1000,"")</f>
        <v>8.7685516246723216E-2</v>
      </c>
      <c r="D367" s="279">
        <f t="shared" ref="D367:N367" si="48">IFERROR((D324*(D165*2.5))/((D148+D149)*1.7+D165*2.5)/D165*1000,"")</f>
        <v>6.3601989083196933E-2</v>
      </c>
      <c r="E367" s="279">
        <f t="shared" si="48"/>
        <v>6.8136053898954232E-2</v>
      </c>
      <c r="F367" s="279">
        <f t="shared" si="48"/>
        <v>6.5079873131374394E-2</v>
      </c>
      <c r="G367" s="279">
        <f t="shared" si="48"/>
        <v>6.9419838808878392E-2</v>
      </c>
      <c r="H367" s="279">
        <f t="shared" si="48"/>
        <v>6.84763448318923E-2</v>
      </c>
      <c r="I367" s="279">
        <f t="shared" si="48"/>
        <v>7.1845114010144137E-2</v>
      </c>
      <c r="J367" s="279">
        <f t="shared" si="48"/>
        <v>7.6293509363039469E-2</v>
      </c>
      <c r="K367" s="279">
        <f t="shared" si="48"/>
        <v>6.1424872902269168E-2</v>
      </c>
      <c r="L367" s="279">
        <f t="shared" si="48"/>
        <v>5.6344676362944761E-2</v>
      </c>
      <c r="M367" s="279">
        <f t="shared" si="48"/>
        <v>6.6669411042869206E-2</v>
      </c>
      <c r="N367" s="279">
        <f t="shared" si="48"/>
        <v>6.7185663040316285E-2</v>
      </c>
      <c r="O367" s="29"/>
      <c r="P367" s="29"/>
    </row>
    <row r="368" spans="1:16" x14ac:dyDescent="0.3">
      <c r="A368" s="58" t="s">
        <v>930</v>
      </c>
      <c r="B368" s="191" t="s">
        <v>958</v>
      </c>
      <c r="C368" s="280">
        <f>'Macroeconomy (GWh)'!C161/1000</f>
        <v>0.39100885730000007</v>
      </c>
      <c r="D368" s="280">
        <f>'Macroeconomy (GWh)'!D161/1000</f>
        <v>0.52751156290000001</v>
      </c>
      <c r="E368" s="280">
        <f>'Macroeconomy (GWh)'!E161/1000</f>
        <v>0.69428832150000008</v>
      </c>
      <c r="F368" s="280">
        <f>'Macroeconomy (GWh)'!F161/1000</f>
        <v>0.55376745090000012</v>
      </c>
      <c r="G368" s="280">
        <f>'Macroeconomy (GWh)'!G161/1000</f>
        <v>0.55405110660000001</v>
      </c>
      <c r="H368" s="280">
        <f>'Macroeconomy (GWh)'!H161/1000</f>
        <v>0.58093187449999995</v>
      </c>
      <c r="I368" s="280">
        <f>'Macroeconomy (GWh)'!I161/1000</f>
        <v>0.53275785590000002</v>
      </c>
      <c r="J368" s="280">
        <f>'Macroeconomy (GWh)'!J161/1000</f>
        <v>0.69343619140000001</v>
      </c>
      <c r="K368" s="280">
        <f>'Macroeconomy (GWh)'!K161/1000</f>
        <v>0.80683008700000014</v>
      </c>
      <c r="L368" s="280">
        <f>'Macroeconomy (GWh)'!L161/1000</f>
        <v>0.79669444444444426</v>
      </c>
      <c r="M368" s="280">
        <f>'Macroeconomy (GWh)'!M161/1000</f>
        <v>0.29305555555555557</v>
      </c>
      <c r="N368" s="280">
        <f>'Macroeconomy (GWh)'!N161/1000</f>
        <v>0.50055555555555553</v>
      </c>
      <c r="O368" s="29"/>
      <c r="P368" s="29"/>
    </row>
  </sheetData>
  <conditionalFormatting sqref="C18:N19 C50:N54">
    <cfRule type="containsBlanks" dxfId="668" priority="265">
      <formula>LEN(TRIM(C18))=0</formula>
    </cfRule>
  </conditionalFormatting>
  <conditionalFormatting sqref="C9:I11 C8:N8">
    <cfRule type="containsBlanks" dxfId="667" priority="274">
      <formula>LEN(TRIM(C8))=0</formula>
    </cfRule>
  </conditionalFormatting>
  <conditionalFormatting sqref="J9:K11">
    <cfRule type="containsBlanks" dxfId="666" priority="273">
      <formula>LEN(TRIM(J9))=0</formula>
    </cfRule>
  </conditionalFormatting>
  <conditionalFormatting sqref="L23 L27:L28 L25">
    <cfRule type="containsBlanks" dxfId="665" priority="257">
      <formula>LEN(TRIM(L23))=0</formula>
    </cfRule>
  </conditionalFormatting>
  <conditionalFormatting sqref="L9:L11">
    <cfRule type="containsBlanks" dxfId="664" priority="272">
      <formula>LEN(TRIM(L9))=0</formula>
    </cfRule>
  </conditionalFormatting>
  <conditionalFormatting sqref="M9:N11">
    <cfRule type="containsBlanks" dxfId="663" priority="271">
      <formula>LEN(TRIM(M9))=0</formula>
    </cfRule>
  </conditionalFormatting>
  <conditionalFormatting sqref="O10:O11">
    <cfRule type="expression" dxfId="662" priority="275">
      <formula>AND($AK8&lt;&gt;"",ISBLANK($E8:$AG8))</formula>
    </cfRule>
  </conditionalFormatting>
  <conditionalFormatting sqref="C17:I17">
    <cfRule type="containsBlanks" dxfId="661" priority="270">
      <formula>LEN(TRIM(C17))=0</formula>
    </cfRule>
  </conditionalFormatting>
  <conditionalFormatting sqref="J17:K17">
    <cfRule type="containsBlanks" dxfId="660" priority="269">
      <formula>LEN(TRIM(J17))=0</formula>
    </cfRule>
  </conditionalFormatting>
  <conditionalFormatting sqref="C55:G55">
    <cfRule type="containsBlanks" dxfId="659" priority="235">
      <formula>LEN(TRIM(C55))=0</formula>
    </cfRule>
  </conditionalFormatting>
  <conditionalFormatting sqref="M17:N17">
    <cfRule type="containsBlanks" dxfId="658" priority="268">
      <formula>LEN(TRIM(M17))=0</formula>
    </cfRule>
  </conditionalFormatting>
  <conditionalFormatting sqref="L17">
    <cfRule type="containsBlanks" dxfId="657" priority="267">
      <formula>LEN(TRIM(L17))=0</formula>
    </cfRule>
  </conditionalFormatting>
  <conditionalFormatting sqref="C14:N16">
    <cfRule type="containsBlanks" dxfId="656" priority="266">
      <formula>LEN(TRIM(C14))=0</formula>
    </cfRule>
  </conditionalFormatting>
  <conditionalFormatting sqref="L24">
    <cfRule type="containsBlanks" dxfId="655" priority="255">
      <formula>LEN(TRIM(L24))=0</formula>
    </cfRule>
  </conditionalFormatting>
  <conditionalFormatting sqref="J29:L29">
    <cfRule type="containsBlanks" dxfId="654" priority="254">
      <formula>LEN(TRIM(J29))=0</formula>
    </cfRule>
  </conditionalFormatting>
  <conditionalFormatting sqref="C23:I23 C27:I29 C25:I25">
    <cfRule type="containsBlanks" dxfId="653" priority="264">
      <formula>LEN(TRIM(C23))=0</formula>
    </cfRule>
  </conditionalFormatting>
  <conditionalFormatting sqref="C26:I26">
    <cfRule type="containsBlanks" dxfId="652" priority="263">
      <formula>LEN(TRIM(C26))=0</formula>
    </cfRule>
  </conditionalFormatting>
  <conditionalFormatting sqref="C24:I24">
    <cfRule type="containsBlanks" dxfId="651" priority="262">
      <formula>LEN(TRIM(C24))=0</formula>
    </cfRule>
  </conditionalFormatting>
  <conditionalFormatting sqref="O23:O25 O27:O29">
    <cfRule type="expression" dxfId="650" priority="261">
      <formula>AND(COUNT(K24:XEM24)&lt;&gt;0,(O23)="")</formula>
    </cfRule>
  </conditionalFormatting>
  <conditionalFormatting sqref="J23:K23 J27:K28 J25:K25">
    <cfRule type="containsBlanks" dxfId="649" priority="260">
      <formula>LEN(TRIM(J23))=0</formula>
    </cfRule>
  </conditionalFormatting>
  <conditionalFormatting sqref="J26:K26">
    <cfRule type="containsBlanks" dxfId="648" priority="259">
      <formula>LEN(TRIM(J26))=0</formula>
    </cfRule>
  </conditionalFormatting>
  <conditionalFormatting sqref="J24:K24">
    <cfRule type="containsBlanks" dxfId="647" priority="258">
      <formula>LEN(TRIM(J24))=0</formula>
    </cfRule>
  </conditionalFormatting>
  <conditionalFormatting sqref="C42:N43">
    <cfRule type="containsBlanks" dxfId="646" priority="238">
      <formula>LEN(TRIM(C42))=0</formula>
    </cfRule>
  </conditionalFormatting>
  <conditionalFormatting sqref="L26">
    <cfRule type="containsBlanks" dxfId="645" priority="256">
      <formula>LEN(TRIM(L26))=0</formula>
    </cfRule>
  </conditionalFormatting>
  <conditionalFormatting sqref="O23:O25 O27:O29">
    <cfRule type="expression" dxfId="644" priority="276">
      <formula>AND($AK24&lt;&gt;"",ISBLANK($E24:$AG24))</formula>
    </cfRule>
  </conditionalFormatting>
  <conditionalFormatting sqref="C32:I35 C36:E37">
    <cfRule type="containsBlanks" dxfId="643" priority="253">
      <formula>LEN(TRIM(C32))=0</formula>
    </cfRule>
  </conditionalFormatting>
  <conditionalFormatting sqref="C38:E38">
    <cfRule type="containsBlanks" dxfId="642" priority="252">
      <formula>LEN(TRIM(C38))=0</formula>
    </cfRule>
  </conditionalFormatting>
  <conditionalFormatting sqref="L38">
    <cfRule type="containsBlanks" dxfId="641" priority="251">
      <formula>LEN(TRIM(L38))=0</formula>
    </cfRule>
  </conditionalFormatting>
  <conditionalFormatting sqref="J32:K35">
    <cfRule type="containsBlanks" dxfId="640" priority="250">
      <formula>LEN(TRIM(J32))=0</formula>
    </cfRule>
  </conditionalFormatting>
  <conditionalFormatting sqref="D81:N83">
    <cfRule type="containsBlanks" dxfId="639" priority="196">
      <formula>LEN(TRIM(D81))=0</formula>
    </cfRule>
  </conditionalFormatting>
  <conditionalFormatting sqref="F38:K38">
    <cfRule type="containsBlanks" dxfId="638" priority="249">
      <formula>LEN(TRIM(F38))=0</formula>
    </cfRule>
  </conditionalFormatting>
  <conditionalFormatting sqref="J61:L61">
    <cfRule type="containsBlanks" dxfId="637" priority="223">
      <formula>LEN(TRIM(J61))=0</formula>
    </cfRule>
  </conditionalFormatting>
  <conditionalFormatting sqref="M35">
    <cfRule type="containsBlanks" dxfId="636" priority="248">
      <formula>LEN(TRIM(M35))=0</formula>
    </cfRule>
  </conditionalFormatting>
  <conditionalFormatting sqref="N35">
    <cfRule type="containsBlanks" dxfId="635" priority="247">
      <formula>LEN(TRIM(N35))=0</formula>
    </cfRule>
  </conditionalFormatting>
  <conditionalFormatting sqref="L60">
    <cfRule type="containsBlanks" dxfId="634" priority="221">
      <formula>LEN(TRIM(L60))=0</formula>
    </cfRule>
  </conditionalFormatting>
  <conditionalFormatting sqref="M38:N38">
    <cfRule type="containsBlanks" dxfId="633" priority="246">
      <formula>LEN(TRIM(M38))=0</formula>
    </cfRule>
  </conditionalFormatting>
  <conditionalFormatting sqref="L32:L35">
    <cfRule type="containsBlanks" dxfId="632" priority="245">
      <formula>LEN(TRIM(L32))=0</formula>
    </cfRule>
  </conditionalFormatting>
  <conditionalFormatting sqref="O32:O34 O36:O37">
    <cfRule type="expression" dxfId="631" priority="243">
      <formula>AND(COUNT(K33:XEM33)&lt;&gt;0,(O32)="")</formula>
    </cfRule>
  </conditionalFormatting>
  <conditionalFormatting sqref="O32:O34 O36:O37">
    <cfRule type="expression" dxfId="630" priority="244">
      <formula>AND($AK33&lt;&gt;"",ISBLANK($E33:$AG33))</formula>
    </cfRule>
  </conditionalFormatting>
  <conditionalFormatting sqref="F36:N37">
    <cfRule type="containsBlanks" dxfId="629" priority="242">
      <formula>LEN(TRIM(F36))=0</formula>
    </cfRule>
  </conditionalFormatting>
  <conditionalFormatting sqref="M32:N34">
    <cfRule type="containsBlanks" dxfId="628" priority="241">
      <formula>LEN(TRIM(M32))=0</formula>
    </cfRule>
  </conditionalFormatting>
  <conditionalFormatting sqref="M24:N29">
    <cfRule type="containsBlanks" dxfId="627" priority="240">
      <formula>LEN(TRIM(M24))=0</formula>
    </cfRule>
  </conditionalFormatting>
  <conditionalFormatting sqref="M23:N23">
    <cfRule type="containsBlanks" dxfId="626" priority="239">
      <formula>LEN(TRIM(M23))=0</formula>
    </cfRule>
  </conditionalFormatting>
  <conditionalFormatting sqref="H55:N55">
    <cfRule type="containsBlanks" dxfId="625" priority="232">
      <formula>LEN(TRIM(H55))=0</formula>
    </cfRule>
  </conditionalFormatting>
  <conditionalFormatting sqref="G65:L65">
    <cfRule type="containsBlanks" dxfId="624" priority="224">
      <formula>LEN(TRIM(G65))=0</formula>
    </cfRule>
  </conditionalFormatting>
  <conditionalFormatting sqref="J59:L59">
    <cfRule type="containsBlanks" dxfId="623" priority="220">
      <formula>LEN(TRIM(J59))=0</formula>
    </cfRule>
  </conditionalFormatting>
  <conditionalFormatting sqref="M61:N61">
    <cfRule type="containsBlanks" dxfId="622" priority="219">
      <formula>LEN(TRIM(M61))=0</formula>
    </cfRule>
  </conditionalFormatting>
  <conditionalFormatting sqref="M60:N60">
    <cfRule type="containsBlanks" dxfId="621" priority="218">
      <formula>LEN(TRIM(M60))=0</formula>
    </cfRule>
  </conditionalFormatting>
  <conditionalFormatting sqref="M59:N59">
    <cfRule type="containsBlanks" dxfId="620" priority="217">
      <formula>LEN(TRIM(M59))=0</formula>
    </cfRule>
  </conditionalFormatting>
  <conditionalFormatting sqref="C49:N49">
    <cfRule type="containsBlanks" dxfId="619" priority="216">
      <formula>LEN(TRIM(C49))=0</formula>
    </cfRule>
  </conditionalFormatting>
  <conditionalFormatting sqref="O42:O44">
    <cfRule type="expression" dxfId="618" priority="236">
      <formula>AND(COUNT(K43:XEM43)&lt;&gt;0,(O42)="")</formula>
    </cfRule>
  </conditionalFormatting>
  <conditionalFormatting sqref="O42:O44">
    <cfRule type="expression" dxfId="617" priority="237">
      <formula>AND($AK43&lt;&gt;"",ISBLANK($E43:$AG43))</formula>
    </cfRule>
  </conditionalFormatting>
  <conditionalFormatting sqref="J60:K60">
    <cfRule type="containsBlanks" dxfId="616" priority="222">
      <formula>LEN(TRIM(J60))=0</formula>
    </cfRule>
  </conditionalFormatting>
  <conditionalFormatting sqref="O55">
    <cfRule type="expression" dxfId="615" priority="233">
      <formula>AND(COUNT(K56:XEM56)&lt;&gt;0,(O55)="")</formula>
    </cfRule>
  </conditionalFormatting>
  <conditionalFormatting sqref="O55">
    <cfRule type="expression" dxfId="614" priority="234">
      <formula>AND($AK56&lt;&gt;"",ISBLANK($E56:$AG56))</formula>
    </cfRule>
  </conditionalFormatting>
  <conditionalFormatting sqref="C59:I64 C65:F65">
    <cfRule type="containsBlanks" dxfId="613" priority="231">
      <formula>LEN(TRIM(C59))=0</formula>
    </cfRule>
  </conditionalFormatting>
  <conditionalFormatting sqref="O59:O61 O63:O65">
    <cfRule type="expression" dxfId="612" priority="230">
      <formula>AND(COUNT(K58:XEM58)&lt;&gt;0,(O59)="")</formula>
    </cfRule>
  </conditionalFormatting>
  <conditionalFormatting sqref="L63:L64">
    <cfRule type="containsBlanks" dxfId="611" priority="229">
      <formula>LEN(TRIM(L63))=0</formula>
    </cfRule>
  </conditionalFormatting>
  <conditionalFormatting sqref="L62">
    <cfRule type="containsBlanks" dxfId="610" priority="228">
      <formula>LEN(TRIM(L62))=0</formula>
    </cfRule>
  </conditionalFormatting>
  <conditionalFormatting sqref="J62:K64">
    <cfRule type="containsBlanks" dxfId="609" priority="227">
      <formula>LEN(TRIM(J62))=0</formula>
    </cfRule>
  </conditionalFormatting>
  <conditionalFormatting sqref="M63:M64">
    <cfRule type="containsBlanks" dxfId="608" priority="226">
      <formula>LEN(TRIM(M63))=0</formula>
    </cfRule>
  </conditionalFormatting>
  <conditionalFormatting sqref="N63:N64">
    <cfRule type="containsBlanks" dxfId="607" priority="225">
      <formula>LEN(TRIM(N63))=0</formula>
    </cfRule>
  </conditionalFormatting>
  <conditionalFormatting sqref="O59:O61 O63:O65">
    <cfRule type="expression" dxfId="606" priority="277">
      <formula>AND($AK58&lt;&gt;"",ISBLANK($E58:$AG58))</formula>
    </cfRule>
  </conditionalFormatting>
  <conditionalFormatting sqref="O49:O52 O174:O183 O282:O286">
    <cfRule type="expression" dxfId="605" priority="278">
      <formula>AND(COUNT(K49:XEM49)&lt;&gt;0,(O49)="")</formula>
    </cfRule>
  </conditionalFormatting>
  <conditionalFormatting sqref="O49:O51 O174:O183 O282:O286">
    <cfRule type="expression" dxfId="604" priority="279">
      <formula>AND($AK49&lt;&gt;"",ISBLANK($E49:$AG49))</formula>
    </cfRule>
  </conditionalFormatting>
  <conditionalFormatting sqref="O52">
    <cfRule type="expression" dxfId="603" priority="280">
      <formula>AND($AK52&lt;&gt;"",ISBLANK($P52:$AG52))</formula>
    </cfRule>
  </conditionalFormatting>
  <conditionalFormatting sqref="M65:N65">
    <cfRule type="containsBlanks" dxfId="602" priority="215">
      <formula>LEN(TRIM(M65))=0</formula>
    </cfRule>
  </conditionalFormatting>
  <conditionalFormatting sqref="C71:I76 C77:G77">
    <cfRule type="containsBlanks" dxfId="601" priority="214">
      <formula>LEN(TRIM(C71))=0</formula>
    </cfRule>
  </conditionalFormatting>
  <conditionalFormatting sqref="O71:O77">
    <cfRule type="expression" dxfId="600" priority="213">
      <formula>AND(COUNT(K71:XEM71)&lt;&gt;0,(O71)="")</formula>
    </cfRule>
  </conditionalFormatting>
  <conditionalFormatting sqref="O71:O77">
    <cfRule type="expression" dxfId="599" priority="212">
      <formula>AND($AK71&lt;&gt;"",ISBLANK($E71:$AG71))</formula>
    </cfRule>
  </conditionalFormatting>
  <conditionalFormatting sqref="J71:K76">
    <cfRule type="containsBlanks" dxfId="598" priority="211">
      <formula>LEN(TRIM(J71))=0</formula>
    </cfRule>
  </conditionalFormatting>
  <conditionalFormatting sqref="L75:L76">
    <cfRule type="containsBlanks" dxfId="597" priority="210">
      <formula>LEN(TRIM(L75))=0</formula>
    </cfRule>
  </conditionalFormatting>
  <conditionalFormatting sqref="M75:N76">
    <cfRule type="containsBlanks" dxfId="596" priority="209">
      <formula>LEN(TRIM(M75))=0</formula>
    </cfRule>
  </conditionalFormatting>
  <conditionalFormatting sqref="C122:N124">
    <cfRule type="containsBlanks" dxfId="595" priority="176">
      <formula>LEN(TRIM(C122))=0</formula>
    </cfRule>
  </conditionalFormatting>
  <conditionalFormatting sqref="L71:L74">
    <cfRule type="containsBlanks" dxfId="594" priority="208">
      <formula>LEN(TRIM(L71))=0</formula>
    </cfRule>
  </conditionalFormatting>
  <conditionalFormatting sqref="H77:L77">
    <cfRule type="containsBlanks" dxfId="593" priority="207">
      <formula>LEN(TRIM(H77))=0</formula>
    </cfRule>
  </conditionalFormatting>
  <conditionalFormatting sqref="M71:N74">
    <cfRule type="containsBlanks" dxfId="592" priority="206">
      <formula>LEN(TRIM(M71))=0</formula>
    </cfRule>
  </conditionalFormatting>
  <conditionalFormatting sqref="M77:N77">
    <cfRule type="containsBlanks" dxfId="591" priority="205">
      <formula>LEN(TRIM(M77))=0</formula>
    </cfRule>
  </conditionalFormatting>
  <conditionalFormatting sqref="C84:I86">
    <cfRule type="containsBlanks" dxfId="590" priority="204">
      <formula>LEN(TRIM(C84))=0</formula>
    </cfRule>
  </conditionalFormatting>
  <conditionalFormatting sqref="O84:O86">
    <cfRule type="expression" dxfId="589" priority="203">
      <formula>AND(COUNT(K84:XEM84)&lt;&gt;0,(O84)="")</formula>
    </cfRule>
  </conditionalFormatting>
  <conditionalFormatting sqref="O84:O86">
    <cfRule type="expression" dxfId="588" priority="202">
      <formula>AND($AK84&lt;&gt;"",ISBLANK($E84:$AG84))</formula>
    </cfRule>
  </conditionalFormatting>
  <conditionalFormatting sqref="L86">
    <cfRule type="containsBlanks" dxfId="587" priority="201">
      <formula>LEN(TRIM(L86))=0</formula>
    </cfRule>
  </conditionalFormatting>
  <conditionalFormatting sqref="J84:K86">
    <cfRule type="containsBlanks" dxfId="586" priority="200">
      <formula>LEN(TRIM(J84))=0</formula>
    </cfRule>
  </conditionalFormatting>
  <conditionalFormatting sqref="M84:N86">
    <cfRule type="containsBlanks" dxfId="585" priority="199">
      <formula>LEN(TRIM(M84))=0</formula>
    </cfRule>
  </conditionalFormatting>
  <conditionalFormatting sqref="C121:N121">
    <cfRule type="containsBlanks" dxfId="584" priority="175">
      <formula>LEN(TRIM(C121))=0</formula>
    </cfRule>
  </conditionalFormatting>
  <conditionalFormatting sqref="L84:L85">
    <cfRule type="containsBlanks" dxfId="583" priority="198">
      <formula>LEN(TRIM(L84))=0</formula>
    </cfRule>
  </conditionalFormatting>
  <conditionalFormatting sqref="C81:C83">
    <cfRule type="containsBlanks" dxfId="582" priority="197">
      <formula>LEN(TRIM(C81))=0</formula>
    </cfRule>
  </conditionalFormatting>
  <conditionalFormatting sqref="C87:N87">
    <cfRule type="containsBlanks" dxfId="581" priority="195">
      <formula>LEN(TRIM(C87))=0</formula>
    </cfRule>
  </conditionalFormatting>
  <conditionalFormatting sqref="O81:O83">
    <cfRule type="expression" dxfId="580" priority="194">
      <formula>AND(COUNT(K81:XEM81)&lt;&gt;0,(O81)="")</formula>
    </cfRule>
  </conditionalFormatting>
  <conditionalFormatting sqref="O81:O83">
    <cfRule type="expression" dxfId="579" priority="193">
      <formula>AND($AK81&lt;&gt;"",ISBLANK($E81:$AG81))</formula>
    </cfRule>
  </conditionalFormatting>
  <conditionalFormatting sqref="O87">
    <cfRule type="expression" dxfId="578" priority="192">
      <formula>AND(COUNT(K87:XEM87)&lt;&gt;0,(O87)="")</formula>
    </cfRule>
  </conditionalFormatting>
  <conditionalFormatting sqref="O87">
    <cfRule type="expression" dxfId="577" priority="191">
      <formula>AND($AK87&lt;&gt;"",ISBLANK($E87:$AG87))</formula>
    </cfRule>
  </conditionalFormatting>
  <conditionalFormatting sqref="C95:N97">
    <cfRule type="containsBlanks" dxfId="576" priority="190">
      <formula>LEN(TRIM(C95))=0</formula>
    </cfRule>
  </conditionalFormatting>
  <conditionalFormatting sqref="C98:N98">
    <cfRule type="containsBlanks" dxfId="575" priority="189">
      <formula>LEN(TRIM(C98))=0</formula>
    </cfRule>
  </conditionalFormatting>
  <conditionalFormatting sqref="O95:O98">
    <cfRule type="expression" dxfId="574" priority="188">
      <formula>AND(COUNT(K95:XEM95)&lt;&gt;0,(O95)="")</formula>
    </cfRule>
  </conditionalFormatting>
  <conditionalFormatting sqref="O95:O98">
    <cfRule type="expression" dxfId="573" priority="187">
      <formula>AND($AK95&lt;&gt;"",ISBLANK($E95:$AG95))</formula>
    </cfRule>
  </conditionalFormatting>
  <conditionalFormatting sqref="O101:O103">
    <cfRule type="expression" dxfId="572" priority="186">
      <formula>AND(COUNT(K101:XEM101)&lt;&gt;0,(O101)="")</formula>
    </cfRule>
  </conditionalFormatting>
  <conditionalFormatting sqref="O101:O103">
    <cfRule type="expression" dxfId="571" priority="185">
      <formula>AND($AK101&lt;&gt;"",ISBLANK($E101:$AG101))</formula>
    </cfRule>
  </conditionalFormatting>
  <conditionalFormatting sqref="C101:N103">
    <cfRule type="containsBlanks" dxfId="570" priority="184">
      <formula>LEN(TRIM(C101))=0</formula>
    </cfRule>
  </conditionalFormatting>
  <conditionalFormatting sqref="C108:N110">
    <cfRule type="containsBlanks" dxfId="569" priority="183">
      <formula>LEN(TRIM(C108))=0</formula>
    </cfRule>
  </conditionalFormatting>
  <conditionalFormatting sqref="C107:N107">
    <cfRule type="containsBlanks" dxfId="568" priority="182">
      <formula>LEN(TRIM(C107))=0</formula>
    </cfRule>
  </conditionalFormatting>
  <conditionalFormatting sqref="O107:O110">
    <cfRule type="expression" dxfId="567" priority="181">
      <formula>AND(COUNT(K107:XEM107)&lt;&gt;0,(O107)="")</formula>
    </cfRule>
  </conditionalFormatting>
  <conditionalFormatting sqref="O107:O110">
    <cfRule type="expression" dxfId="566" priority="180">
      <formula>AND($AK107&lt;&gt;"",ISBLANK($E107:$AG107))</formula>
    </cfRule>
  </conditionalFormatting>
  <conditionalFormatting sqref="O113:O115">
    <cfRule type="expression" dxfId="565" priority="179">
      <formula>AND(COUNT(K113:XEM113)&lt;&gt;0,(O113)="")</formula>
    </cfRule>
  </conditionalFormatting>
  <conditionalFormatting sqref="O113:O115">
    <cfRule type="expression" dxfId="564" priority="178">
      <formula>AND($AK113&lt;&gt;"",ISBLANK($E113:$AG113))</formula>
    </cfRule>
  </conditionalFormatting>
  <conditionalFormatting sqref="C113:N115">
    <cfRule type="containsBlanks" dxfId="563" priority="177">
      <formula>LEN(TRIM(C113))=0</formula>
    </cfRule>
  </conditionalFormatting>
  <conditionalFormatting sqref="O121:O124">
    <cfRule type="expression" dxfId="562" priority="174">
      <formula>AND(COUNT(K121:XEM121)&lt;&gt;0,(O121)="")</formula>
    </cfRule>
  </conditionalFormatting>
  <conditionalFormatting sqref="O121:O124">
    <cfRule type="expression" dxfId="561" priority="173">
      <formula>AND($AK121&lt;&gt;"",ISBLANK($E121:$AG121))</formula>
    </cfRule>
  </conditionalFormatting>
  <conditionalFormatting sqref="N130:N137">
    <cfRule type="containsBlanks" dxfId="560" priority="172">
      <formula>LEN(TRIM(N130))=0</formula>
    </cfRule>
  </conditionalFormatting>
  <conditionalFormatting sqref="C130:M137">
    <cfRule type="containsBlanks" dxfId="559" priority="171">
      <formula>LEN(TRIM(C130))=0</formula>
    </cfRule>
  </conditionalFormatting>
  <conditionalFormatting sqref="O130:O137">
    <cfRule type="expression" dxfId="558" priority="170">
      <formula>AND(COUNT(K130:XEM130)&lt;&gt;0,(O130)="")</formula>
    </cfRule>
  </conditionalFormatting>
  <conditionalFormatting sqref="O130:O137">
    <cfRule type="expression" dxfId="557" priority="169">
      <formula>AND($AK130&lt;&gt;"",ISBLANK($E130:$AG130))</formula>
    </cfRule>
  </conditionalFormatting>
  <conditionalFormatting sqref="P130">
    <cfRule type="expression" dxfId="556" priority="168">
      <formula>AND(COUNT(L130:XEN130)&lt;&gt;0,(P130)="")</formula>
    </cfRule>
  </conditionalFormatting>
  <conditionalFormatting sqref="P130">
    <cfRule type="expression" dxfId="555" priority="167">
      <formula>AND($AK130&lt;&gt;"",ISBLANK($E130:$AG130))</formula>
    </cfRule>
  </conditionalFormatting>
  <conditionalFormatting sqref="O145:O152">
    <cfRule type="expression" dxfId="554" priority="166">
      <formula>AND(COUNT(K145:XEM145)&lt;&gt;0,(O145)="")</formula>
    </cfRule>
  </conditionalFormatting>
  <conditionalFormatting sqref="O145:O152">
    <cfRule type="expression" dxfId="553" priority="165">
      <formula>AND($AK145&lt;&gt;"",ISBLANK($E145:$AG145))</formula>
    </cfRule>
  </conditionalFormatting>
  <conditionalFormatting sqref="C155:I156 K155:K156 K159 C159:I159">
    <cfRule type="containsBlanks" dxfId="552" priority="163">
      <formula>LEN(TRIM(C155))=0</formula>
    </cfRule>
  </conditionalFormatting>
  <conditionalFormatting sqref="C145:K145 C144:F144 C146:I146 C148:I148 C152:L152">
    <cfRule type="containsBlanks" dxfId="551" priority="164">
      <formula>LEN(TRIM(C144))=0</formula>
    </cfRule>
  </conditionalFormatting>
  <conditionalFormatting sqref="O155:O159">
    <cfRule type="expression" dxfId="550" priority="162">
      <formula>AND(COUNT(K155:XEM155)&lt;&gt;0,(O155)="")</formula>
    </cfRule>
  </conditionalFormatting>
  <conditionalFormatting sqref="O155:O159">
    <cfRule type="expression" dxfId="549" priority="161">
      <formula>AND($AK155&lt;&gt;"",ISBLANK($E155:$AG155))</formula>
    </cfRule>
  </conditionalFormatting>
  <conditionalFormatting sqref="L145">
    <cfRule type="containsBlanks" dxfId="548" priority="160">
      <formula>LEN(TRIM(L145))=0</formula>
    </cfRule>
  </conditionalFormatting>
  <conditionalFormatting sqref="J155:J156 J159">
    <cfRule type="containsBlanks" dxfId="547" priority="159">
      <formula>LEN(TRIM(J155))=0</formula>
    </cfRule>
  </conditionalFormatting>
  <conditionalFormatting sqref="J146:K146 J148:K148">
    <cfRule type="containsBlanks" dxfId="546" priority="158">
      <formula>LEN(TRIM(J146))=0</formula>
    </cfRule>
  </conditionalFormatting>
  <conditionalFormatting sqref="G144:J144">
    <cfRule type="containsBlanks" dxfId="545" priority="157">
      <formula>LEN(TRIM(G144))=0</formula>
    </cfRule>
  </conditionalFormatting>
  <conditionalFormatting sqref="O144">
    <cfRule type="expression" dxfId="544" priority="156">
      <formula>AND(COUNT(K144:XEM144)&lt;&gt;0,(O144)="")</formula>
    </cfRule>
  </conditionalFormatting>
  <conditionalFormatting sqref="O144">
    <cfRule type="expression" dxfId="543" priority="155">
      <formula>AND($AK144&lt;&gt;"",ISBLANK($E144:$AG144))</formula>
    </cfRule>
  </conditionalFormatting>
  <conditionalFormatting sqref="M152">
    <cfRule type="containsBlanks" dxfId="542" priority="154">
      <formula>LEN(TRIM(M152))=0</formula>
    </cfRule>
  </conditionalFormatting>
  <conditionalFormatting sqref="M145">
    <cfRule type="containsBlanks" dxfId="541" priority="153">
      <formula>LEN(TRIM(M145))=0</formula>
    </cfRule>
  </conditionalFormatting>
  <conditionalFormatting sqref="L146 L148">
    <cfRule type="containsBlanks" dxfId="540" priority="152">
      <formula>LEN(TRIM(L146))=0</formula>
    </cfRule>
  </conditionalFormatting>
  <conditionalFormatting sqref="K144">
    <cfRule type="containsBlanks" dxfId="539" priority="151">
      <formula>LEN(TRIM(K144))=0</formula>
    </cfRule>
  </conditionalFormatting>
  <conditionalFormatting sqref="L144">
    <cfRule type="containsBlanks" dxfId="538" priority="150">
      <formula>LEN(TRIM(L144))=0</formula>
    </cfRule>
  </conditionalFormatting>
  <conditionalFormatting sqref="N152">
    <cfRule type="containsBlanks" dxfId="537" priority="149">
      <formula>LEN(TRIM(N152))=0</formula>
    </cfRule>
  </conditionalFormatting>
  <conditionalFormatting sqref="N145">
    <cfRule type="containsBlanks" dxfId="536" priority="148">
      <formula>LEN(TRIM(N145))=0</formula>
    </cfRule>
  </conditionalFormatting>
  <conditionalFormatting sqref="C147:N147">
    <cfRule type="containsBlanks" dxfId="535" priority="147">
      <formula>LEN(TRIM(C147))=0</formula>
    </cfRule>
  </conditionalFormatting>
  <conditionalFormatting sqref="M146:N146">
    <cfRule type="containsBlanks" dxfId="534" priority="146">
      <formula>LEN(TRIM(M146))=0</formula>
    </cfRule>
  </conditionalFormatting>
  <conditionalFormatting sqref="C149:N151">
    <cfRule type="containsBlanks" dxfId="533" priority="145">
      <formula>LEN(TRIM(C149))=0</formula>
    </cfRule>
  </conditionalFormatting>
  <conditionalFormatting sqref="M148:N148">
    <cfRule type="containsBlanks" dxfId="532" priority="144">
      <formula>LEN(TRIM(M148))=0</formula>
    </cfRule>
  </conditionalFormatting>
  <conditionalFormatting sqref="C157:K158">
    <cfRule type="containsBlanks" dxfId="531" priority="143">
      <formula>LEN(TRIM(C157))=0</formula>
    </cfRule>
  </conditionalFormatting>
  <conditionalFormatting sqref="L155:N156 L159:N159">
    <cfRule type="containsBlanks" dxfId="530" priority="142">
      <formula>LEN(TRIM(L155))=0</formula>
    </cfRule>
  </conditionalFormatting>
  <conditionalFormatting sqref="L157:N158">
    <cfRule type="containsBlanks" dxfId="529" priority="141">
      <formula>LEN(TRIM(L157))=0</formula>
    </cfRule>
  </conditionalFormatting>
  <conditionalFormatting sqref="P144">
    <cfRule type="expression" dxfId="528" priority="140">
      <formula>AND(COUNT(L144:XEN144)&lt;&gt;0,(P144)="")</formula>
    </cfRule>
  </conditionalFormatting>
  <conditionalFormatting sqref="P144">
    <cfRule type="expression" dxfId="527" priority="139">
      <formula>AND($AK144&lt;&gt;"",ISBLANK($E144:$AG144))</formula>
    </cfRule>
  </conditionalFormatting>
  <conditionalFormatting sqref="P146:P151">
    <cfRule type="expression" dxfId="526" priority="138">
      <formula>AND(COUNT(L146:XEN146)&lt;&gt;0,(P146)="")</formula>
    </cfRule>
  </conditionalFormatting>
  <conditionalFormatting sqref="P146:P151">
    <cfRule type="expression" dxfId="525" priority="137">
      <formula>AND($AK146&lt;&gt;"",ISBLANK($E146:$AG146))</formula>
    </cfRule>
  </conditionalFormatting>
  <conditionalFormatting sqref="P155:P159">
    <cfRule type="expression" dxfId="524" priority="136">
      <formula>AND(COUNT(L155:XEN155)&lt;&gt;0,(P155)="")</formula>
    </cfRule>
  </conditionalFormatting>
  <conditionalFormatting sqref="P155:P159">
    <cfRule type="expression" dxfId="523" priority="135">
      <formula>AND($AK155&lt;&gt;"",ISBLANK($E155:$AG155))</formula>
    </cfRule>
  </conditionalFormatting>
  <conditionalFormatting sqref="K166 C166:I166">
    <cfRule type="containsBlanks" dxfId="522" priority="134">
      <formula>LEN(TRIM(C166))=0</formula>
    </cfRule>
  </conditionalFormatting>
  <conditionalFormatting sqref="L166:N166">
    <cfRule type="containsBlanks" dxfId="521" priority="133">
      <formula>LEN(TRIM(L166))=0</formula>
    </cfRule>
  </conditionalFormatting>
  <conditionalFormatting sqref="J166">
    <cfRule type="containsBlanks" dxfId="520" priority="132">
      <formula>LEN(TRIM(J166))=0</formula>
    </cfRule>
  </conditionalFormatting>
  <conditionalFormatting sqref="O164:O166">
    <cfRule type="expression" dxfId="519" priority="131">
      <formula>AND(COUNT(K164:XEM164)&lt;&gt;0,(O164)="")</formula>
    </cfRule>
  </conditionalFormatting>
  <conditionalFormatting sqref="O164:O166">
    <cfRule type="expression" dxfId="518" priority="130">
      <formula>AND($AK164&lt;&gt;"",ISBLANK($E164:$AG164))</formula>
    </cfRule>
  </conditionalFormatting>
  <conditionalFormatting sqref="C165:N165 C164:M164">
    <cfRule type="containsBlanks" dxfId="517" priority="129">
      <formula>LEN(TRIM(C164))=0</formula>
    </cfRule>
  </conditionalFormatting>
  <conditionalFormatting sqref="P164">
    <cfRule type="expression" dxfId="516" priority="128">
      <formula>AND(COUNT(L164:XEN164)&lt;&gt;0,(P164)="")</formula>
    </cfRule>
  </conditionalFormatting>
  <conditionalFormatting sqref="P164">
    <cfRule type="expression" dxfId="515" priority="127">
      <formula>AND($AK164&lt;&gt;"",ISBLANK($E164:$AG164))</formula>
    </cfRule>
  </conditionalFormatting>
  <conditionalFormatting sqref="P165">
    <cfRule type="expression" dxfId="514" priority="126">
      <formula>AND(COUNT(L165:XEN165)&lt;&gt;0,(P165)="")</formula>
    </cfRule>
  </conditionalFormatting>
  <conditionalFormatting sqref="P165">
    <cfRule type="expression" dxfId="513" priority="125">
      <formula>AND($AK165&lt;&gt;"",ISBLANK($E165:$AG165))</formula>
    </cfRule>
  </conditionalFormatting>
  <conditionalFormatting sqref="O188:O191">
    <cfRule type="expression" dxfId="512" priority="123">
      <formula>AND(COUNT(K188:XEM188)&lt;&gt;0,(O188)="")</formula>
    </cfRule>
  </conditionalFormatting>
  <conditionalFormatting sqref="O188:O191">
    <cfRule type="expression" dxfId="511" priority="122">
      <formula>AND($AK188&lt;&gt;"",ISBLANK($E188:$AG188))</formula>
    </cfRule>
  </conditionalFormatting>
  <conditionalFormatting sqref="P189:P191">
    <cfRule type="expression" dxfId="510" priority="121">
      <formula>AND(COUNT(L189:XEN189)&lt;&gt;0,(P189)="")</formula>
    </cfRule>
  </conditionalFormatting>
  <conditionalFormatting sqref="P189:P191">
    <cfRule type="expression" dxfId="509" priority="120">
      <formula>AND($AK189&lt;&gt;"",ISBLANK($E189:$AG189))</formula>
    </cfRule>
  </conditionalFormatting>
  <conditionalFormatting sqref="P196:P197">
    <cfRule type="expression" dxfId="508" priority="117">
      <formula>AND(COUNT(L196:XEN196)&lt;&gt;0,(P196)="")</formula>
    </cfRule>
  </conditionalFormatting>
  <conditionalFormatting sqref="P196:P197">
    <cfRule type="expression" dxfId="507" priority="116">
      <formula>AND($AK196&lt;&gt;"",ISBLANK($E196:$AG196))</formula>
    </cfRule>
  </conditionalFormatting>
  <conditionalFormatting sqref="P203:P204">
    <cfRule type="expression" dxfId="506" priority="115">
      <formula>AND(COUNT(L203:XEN203)&lt;&gt;0,(P203)="")</formula>
    </cfRule>
  </conditionalFormatting>
  <conditionalFormatting sqref="P203:P204">
    <cfRule type="expression" dxfId="505" priority="114">
      <formula>AND($AK203&lt;&gt;"",ISBLANK($E203:$AG203))</formula>
    </cfRule>
  </conditionalFormatting>
  <conditionalFormatting sqref="P205">
    <cfRule type="expression" dxfId="504" priority="113">
      <formula>AND(COUNT(L205:XEN205)&lt;&gt;0,(P205)="")</formula>
    </cfRule>
  </conditionalFormatting>
  <conditionalFormatting sqref="P205">
    <cfRule type="expression" dxfId="503" priority="112">
      <formula>AND($AK205&lt;&gt;"",ISBLANK($E205:$AG205))</formula>
    </cfRule>
  </conditionalFormatting>
  <conditionalFormatting sqref="N267:N269">
    <cfRule type="containsBlanks" dxfId="502" priority="111">
      <formula>LEN(TRIM(N267))=0</formula>
    </cfRule>
  </conditionalFormatting>
  <conditionalFormatting sqref="N270">
    <cfRule type="containsBlanks" dxfId="501" priority="110">
      <formula>LEN(TRIM(N270))=0</formula>
    </cfRule>
  </conditionalFormatting>
  <conditionalFormatting sqref="O267:O270">
    <cfRule type="expression" dxfId="500" priority="109">
      <formula>AND(COUNT(K267:XEM267)&lt;&gt;0,(O267)="")</formula>
    </cfRule>
  </conditionalFormatting>
  <conditionalFormatting sqref="O267:O270">
    <cfRule type="expression" dxfId="499" priority="108">
      <formula>AND($AK267&lt;&gt;"",ISBLANK($E267:$AG267))</formula>
    </cfRule>
  </conditionalFormatting>
  <conditionalFormatting sqref="C267:M270">
    <cfRule type="containsBlanks" dxfId="498" priority="107">
      <formula>LEN(TRIM(C267))=0</formula>
    </cfRule>
  </conditionalFormatting>
  <conditionalFormatting sqref="C274:N274">
    <cfRule type="containsBlanks" dxfId="497" priority="106">
      <formula>LEN(TRIM(C274))=0</formula>
    </cfRule>
  </conditionalFormatting>
  <conditionalFormatting sqref="O274">
    <cfRule type="expression" dxfId="496" priority="105">
      <formula>AND(COUNT(K274:XEM274)&lt;&gt;0,(O274)="")</formula>
    </cfRule>
  </conditionalFormatting>
  <conditionalFormatting sqref="O274">
    <cfRule type="expression" dxfId="495" priority="104">
      <formula>AND($AK274&lt;&gt;"",ISBLANK($E274:$AG274))</formula>
    </cfRule>
  </conditionalFormatting>
  <conditionalFormatting sqref="O288">
    <cfRule type="expression" dxfId="494" priority="101">
      <formula>AND(COUNT(K288:XEM288)&lt;&gt;0,(O288)="")</formula>
    </cfRule>
  </conditionalFormatting>
  <conditionalFormatting sqref="O288">
    <cfRule type="expression" dxfId="493" priority="100">
      <formula>AND($AK288&lt;&gt;"",ISBLANK($E288:$AG288))</formula>
    </cfRule>
  </conditionalFormatting>
  <conditionalFormatting sqref="C288:K289">
    <cfRule type="containsBlanks" dxfId="492" priority="99">
      <formula>LEN(TRIM(C288))=0</formula>
    </cfRule>
  </conditionalFormatting>
  <conditionalFormatting sqref="L288:L289">
    <cfRule type="containsBlanks" dxfId="491" priority="98">
      <formula>LEN(TRIM(L288))=0</formula>
    </cfRule>
  </conditionalFormatting>
  <conditionalFormatting sqref="M288:M289">
    <cfRule type="containsBlanks" dxfId="490" priority="97">
      <formula>LEN(TRIM(M288))=0</formula>
    </cfRule>
  </conditionalFormatting>
  <conditionalFormatting sqref="N288:N289">
    <cfRule type="containsBlanks" dxfId="489" priority="96">
      <formula>LEN(TRIM(N288))=0</formula>
    </cfRule>
  </conditionalFormatting>
  <conditionalFormatting sqref="C282:N282 C286:N287">
    <cfRule type="containsBlanks" dxfId="488" priority="95">
      <formula>LEN(TRIM(C282))=0</formula>
    </cfRule>
  </conditionalFormatting>
  <conditionalFormatting sqref="O287">
    <cfRule type="expression" dxfId="487" priority="94">
      <formula>AND(COUNT(K287:XEM287)&lt;&gt;0,(O287)="")</formula>
    </cfRule>
  </conditionalFormatting>
  <conditionalFormatting sqref="O287">
    <cfRule type="expression" dxfId="486" priority="93">
      <formula>AND($AK287&lt;&gt;"",ISBLANK($E287:$AG287))</formula>
    </cfRule>
  </conditionalFormatting>
  <conditionalFormatting sqref="O293">
    <cfRule type="expression" dxfId="485" priority="92">
      <formula>AND(COUNT(K293:XEM293)&lt;&gt;0,(O293)="")</formula>
    </cfRule>
  </conditionalFormatting>
  <conditionalFormatting sqref="O293">
    <cfRule type="expression" dxfId="484" priority="91">
      <formula>AND($AK293&lt;&gt;"",ISBLANK($E293:$AG293))</formula>
    </cfRule>
  </conditionalFormatting>
  <conditionalFormatting sqref="C293:K293 C296:K296">
    <cfRule type="containsBlanks" dxfId="483" priority="90">
      <formula>LEN(TRIM(C293))=0</formula>
    </cfRule>
  </conditionalFormatting>
  <conditionalFormatting sqref="C301:K301">
    <cfRule type="containsBlanks" dxfId="482" priority="89">
      <formula>LEN(TRIM(C301))=0</formula>
    </cfRule>
  </conditionalFormatting>
  <conditionalFormatting sqref="C297:K297">
    <cfRule type="containsBlanks" dxfId="481" priority="88">
      <formula>LEN(TRIM(C297))=0</formula>
    </cfRule>
  </conditionalFormatting>
  <conditionalFormatting sqref="L293 L296">
    <cfRule type="containsBlanks" dxfId="480" priority="87">
      <formula>LEN(TRIM(L293))=0</formula>
    </cfRule>
  </conditionalFormatting>
  <conditionalFormatting sqref="L301">
    <cfRule type="containsBlanks" dxfId="479" priority="86">
      <formula>LEN(TRIM(L301))=0</formula>
    </cfRule>
  </conditionalFormatting>
  <conditionalFormatting sqref="L297">
    <cfRule type="containsBlanks" dxfId="478" priority="85">
      <formula>LEN(TRIM(L297))=0</formula>
    </cfRule>
  </conditionalFormatting>
  <conditionalFormatting sqref="M293 M296">
    <cfRule type="containsBlanks" dxfId="477" priority="84">
      <formula>LEN(TRIM(M293))=0</formula>
    </cfRule>
  </conditionalFormatting>
  <conditionalFormatting sqref="M301">
    <cfRule type="containsBlanks" dxfId="476" priority="83">
      <formula>LEN(TRIM(M301))=0</formula>
    </cfRule>
  </conditionalFormatting>
  <conditionalFormatting sqref="M297">
    <cfRule type="containsBlanks" dxfId="475" priority="82">
      <formula>LEN(TRIM(M297))=0</formula>
    </cfRule>
  </conditionalFormatting>
  <conditionalFormatting sqref="N293 N296">
    <cfRule type="containsBlanks" dxfId="474" priority="81">
      <formula>LEN(TRIM(N293))=0</formula>
    </cfRule>
  </conditionalFormatting>
  <conditionalFormatting sqref="N297">
    <cfRule type="containsBlanks" dxfId="473" priority="80">
      <formula>LEN(TRIM(N297))=0</formula>
    </cfRule>
  </conditionalFormatting>
  <conditionalFormatting sqref="N294:N295">
    <cfRule type="containsBlanks" dxfId="472" priority="79">
      <formula>LEN(TRIM(N294))=0</formula>
    </cfRule>
  </conditionalFormatting>
  <conditionalFormatting sqref="N301">
    <cfRule type="containsBlanks" dxfId="471" priority="78">
      <formula>LEN(TRIM(N301))=0</formula>
    </cfRule>
  </conditionalFormatting>
  <conditionalFormatting sqref="N311">
    <cfRule type="containsBlanks" dxfId="470" priority="77">
      <formula>LEN(TRIM(N311))=0</formula>
    </cfRule>
  </conditionalFormatting>
  <conditionalFormatting sqref="N310">
    <cfRule type="containsBlanks" dxfId="469" priority="76">
      <formula>LEN(TRIM(N310))=0</formula>
    </cfRule>
  </conditionalFormatting>
  <conditionalFormatting sqref="N308:N309">
    <cfRule type="containsBlanks" dxfId="468" priority="75">
      <formula>LEN(TRIM(N308))=0</formula>
    </cfRule>
  </conditionalFormatting>
  <conditionalFormatting sqref="C294:M295">
    <cfRule type="containsBlanks" dxfId="467" priority="74">
      <formula>LEN(TRIM(C294))=0</formula>
    </cfRule>
  </conditionalFormatting>
  <conditionalFormatting sqref="O294:O311">
    <cfRule type="expression" dxfId="466" priority="73">
      <formula>AND(COUNT(K294:XEM294)&lt;&gt;0,(O294)="")</formula>
    </cfRule>
  </conditionalFormatting>
  <conditionalFormatting sqref="O294:O311">
    <cfRule type="expression" dxfId="465" priority="72">
      <formula>AND($AK294&lt;&gt;"",ISBLANK($E294:$AG294))</formula>
    </cfRule>
  </conditionalFormatting>
  <conditionalFormatting sqref="C302:N304">
    <cfRule type="containsBlanks" dxfId="464" priority="71">
      <formula>LEN(TRIM(C302))=0</formula>
    </cfRule>
  </conditionalFormatting>
  <conditionalFormatting sqref="C308:M311">
    <cfRule type="containsBlanks" dxfId="463" priority="70">
      <formula>LEN(TRIM(C308))=0</formula>
    </cfRule>
  </conditionalFormatting>
  <conditionalFormatting sqref="C317:N317">
    <cfRule type="containsBlanks" dxfId="462" priority="69">
      <formula>LEN(TRIM(C317))=0</formula>
    </cfRule>
  </conditionalFormatting>
  <conditionalFormatting sqref="C323:N323">
    <cfRule type="containsBlanks" dxfId="461" priority="68">
      <formula>LEN(TRIM(C323))=0</formula>
    </cfRule>
  </conditionalFormatting>
  <conditionalFormatting sqref="C324:N324">
    <cfRule type="containsBlanks" dxfId="460" priority="67">
      <formula>LEN(TRIM(C324))=0</formula>
    </cfRule>
  </conditionalFormatting>
  <conditionalFormatting sqref="C325:N325">
    <cfRule type="containsBlanks" dxfId="459" priority="66">
      <formula>LEN(TRIM(C325))=0</formula>
    </cfRule>
  </conditionalFormatting>
  <conditionalFormatting sqref="C326:N326">
    <cfRule type="containsBlanks" dxfId="458" priority="65">
      <formula>LEN(TRIM(C326))=0</formula>
    </cfRule>
  </conditionalFormatting>
  <conditionalFormatting sqref="C328:N328">
    <cfRule type="containsBlanks" dxfId="457" priority="64">
      <formula>LEN(TRIM(C328))=0</formula>
    </cfRule>
  </conditionalFormatting>
  <conditionalFormatting sqref="C331:N331">
    <cfRule type="containsBlanks" dxfId="456" priority="63">
      <formula>LEN(TRIM(C331))=0</formula>
    </cfRule>
  </conditionalFormatting>
  <conditionalFormatting sqref="C332:N332">
    <cfRule type="containsBlanks" dxfId="455" priority="62">
      <formula>LEN(TRIM(C332))=0</formula>
    </cfRule>
  </conditionalFormatting>
  <conditionalFormatting sqref="C333:N333">
    <cfRule type="containsBlanks" dxfId="454" priority="61">
      <formula>LEN(TRIM(C333))=0</formula>
    </cfRule>
  </conditionalFormatting>
  <conditionalFormatting sqref="C335:N335">
    <cfRule type="containsBlanks" dxfId="453" priority="60">
      <formula>LEN(TRIM(C335))=0</formula>
    </cfRule>
  </conditionalFormatting>
  <conditionalFormatting sqref="C318:N318">
    <cfRule type="containsBlanks" dxfId="452" priority="59">
      <formula>LEN(TRIM(C318))=0</formula>
    </cfRule>
  </conditionalFormatting>
  <conditionalFormatting sqref="O196:O198">
    <cfRule type="expression" dxfId="451" priority="58">
      <formula>AND(COUNT(K196:XEM196)&lt;&gt;0,(O196)="")</formula>
    </cfRule>
  </conditionalFormatting>
  <conditionalFormatting sqref="O196:O198">
    <cfRule type="expression" dxfId="450" priority="57">
      <formula>AND($AK196&lt;&gt;"",ISBLANK($E196:$AG196))</formula>
    </cfRule>
  </conditionalFormatting>
  <conditionalFormatting sqref="O203:O208">
    <cfRule type="expression" dxfId="449" priority="56">
      <formula>AND(COUNT(K203:XEM203)&lt;&gt;0,(O203)="")</formula>
    </cfRule>
  </conditionalFormatting>
  <conditionalFormatting sqref="O203:O208">
    <cfRule type="expression" dxfId="448" priority="55">
      <formula>AND($AK203&lt;&gt;"",ISBLANK($E203:$AG203))</formula>
    </cfRule>
  </conditionalFormatting>
  <conditionalFormatting sqref="C285:N285">
    <cfRule type="containsBlanks" dxfId="447" priority="54">
      <formula>LEN(TRIM(C285))=0</formula>
    </cfRule>
  </conditionalFormatting>
  <conditionalFormatting sqref="C327:N327">
    <cfRule type="containsBlanks" dxfId="446" priority="53">
      <formula>LEN(TRIM(C327))=0</formula>
    </cfRule>
  </conditionalFormatting>
  <conditionalFormatting sqref="C338:N338">
    <cfRule type="containsBlanks" dxfId="445" priority="52">
      <formula>LEN(TRIM(C338))=0</formula>
    </cfRule>
  </conditionalFormatting>
  <conditionalFormatting sqref="C339:N340">
    <cfRule type="containsBlanks" dxfId="444" priority="51">
      <formula>LEN(TRIM(C339))=0</formula>
    </cfRule>
  </conditionalFormatting>
  <conditionalFormatting sqref="N164">
    <cfRule type="containsBlanks" dxfId="443" priority="49">
      <formula>LEN(TRIM(N164))=0</formula>
    </cfRule>
  </conditionalFormatting>
  <conditionalFormatting sqref="M144:N144">
    <cfRule type="containsBlanks" dxfId="442" priority="50">
      <formula>LEN(TRIM(M144))=0</formula>
    </cfRule>
  </conditionalFormatting>
  <conditionalFormatting sqref="O212">
    <cfRule type="expression" dxfId="441" priority="47">
      <formula>AND(COUNT(K212:XEM212)&lt;&gt;0,(O212)="")</formula>
    </cfRule>
  </conditionalFormatting>
  <conditionalFormatting sqref="O212">
    <cfRule type="expression" dxfId="440" priority="46">
      <formula>AND($AK212&lt;&gt;"",ISBLANK($E212:$AG212))</formula>
    </cfRule>
  </conditionalFormatting>
  <conditionalFormatting sqref="O213:O215">
    <cfRule type="expression" dxfId="439" priority="44">
      <formula>AND(COUNT(K213:XEM213)&lt;&gt;0,(O213)="")</formula>
    </cfRule>
  </conditionalFormatting>
  <conditionalFormatting sqref="O213:O215">
    <cfRule type="expression" dxfId="438" priority="43">
      <formula>AND($AK213&lt;&gt;"",ISBLANK($E213:$AG213))</formula>
    </cfRule>
  </conditionalFormatting>
  <conditionalFormatting sqref="C226:N227">
    <cfRule type="containsBlanks" dxfId="437" priority="42">
      <formula>LEN(TRIM(C226))=0</formula>
    </cfRule>
  </conditionalFormatting>
  <conditionalFormatting sqref="O230">
    <cfRule type="expression" dxfId="436" priority="39">
      <formula>AND($AK230&lt;&gt;"",ISBLANK($E230:$AG230))</formula>
    </cfRule>
  </conditionalFormatting>
  <conditionalFormatting sqref="O230">
    <cfRule type="expression" dxfId="435" priority="40">
      <formula>AND(COUNT(K230:XEM230)&lt;&gt;0,(O230)="")</formula>
    </cfRule>
  </conditionalFormatting>
  <conditionalFormatting sqref="N233:N239">
    <cfRule type="containsBlanks" dxfId="434" priority="38">
      <formula>LEN(TRIM(N233))=0</formula>
    </cfRule>
  </conditionalFormatting>
  <conditionalFormatting sqref="O233">
    <cfRule type="expression" dxfId="433" priority="36">
      <formula>AND($AK233&lt;&gt;"",ISBLANK($E233:$AG233))</formula>
    </cfRule>
  </conditionalFormatting>
  <conditionalFormatting sqref="O233">
    <cfRule type="expression" dxfId="432" priority="37">
      <formula>AND(COUNT(K233:XEM233)&lt;&gt;0,(O233)="")</formula>
    </cfRule>
  </conditionalFormatting>
  <conditionalFormatting sqref="O234">
    <cfRule type="expression" dxfId="431" priority="34">
      <formula>AND($AK234&lt;&gt;"",ISBLANK($E234:$AG234))</formula>
    </cfRule>
  </conditionalFormatting>
  <conditionalFormatting sqref="O234">
    <cfRule type="expression" dxfId="430" priority="35">
      <formula>AND(COUNT(K234:XEM234)&lt;&gt;0,(O234)="")</formula>
    </cfRule>
  </conditionalFormatting>
  <conditionalFormatting sqref="N243:N249">
    <cfRule type="containsBlanks" dxfId="429" priority="33">
      <formula>LEN(TRIM(N243))=0</formula>
    </cfRule>
  </conditionalFormatting>
  <conditionalFormatting sqref="O243">
    <cfRule type="expression" dxfId="428" priority="31">
      <formula>AND($AK243&lt;&gt;"",ISBLANK($E243:$AG243))</formula>
    </cfRule>
  </conditionalFormatting>
  <conditionalFormatting sqref="O243">
    <cfRule type="expression" dxfId="427" priority="32">
      <formula>AND(COUNT(K243:XEM243)&lt;&gt;0,(O243)="")</formula>
    </cfRule>
  </conditionalFormatting>
  <conditionalFormatting sqref="O244">
    <cfRule type="expression" dxfId="426" priority="29">
      <formula>AND($AK244&lt;&gt;"",ISBLANK($E244:$AG244))</formula>
    </cfRule>
  </conditionalFormatting>
  <conditionalFormatting sqref="O244">
    <cfRule type="expression" dxfId="425" priority="30">
      <formula>AND(COUNT(K244:XEM244)&lt;&gt;0,(O244)="")</formula>
    </cfRule>
  </conditionalFormatting>
  <conditionalFormatting sqref="N253:N259">
    <cfRule type="containsBlanks" dxfId="424" priority="28">
      <formula>LEN(TRIM(N253))=0</formula>
    </cfRule>
  </conditionalFormatting>
  <conditionalFormatting sqref="O253">
    <cfRule type="expression" dxfId="423" priority="26">
      <formula>AND($AK253&lt;&gt;"",ISBLANK($E253:$AG253))</formula>
    </cfRule>
  </conditionalFormatting>
  <conditionalFormatting sqref="O253">
    <cfRule type="expression" dxfId="422" priority="27">
      <formula>AND(COUNT(K253:XEM253)&lt;&gt;0,(O253)="")</formula>
    </cfRule>
  </conditionalFormatting>
  <conditionalFormatting sqref="O254">
    <cfRule type="expression" dxfId="421" priority="24">
      <formula>AND($AK254&lt;&gt;"",ISBLANK($E254:$AG254))</formula>
    </cfRule>
  </conditionalFormatting>
  <conditionalFormatting sqref="O254">
    <cfRule type="expression" dxfId="420" priority="25">
      <formula>AND(COUNT(K254:XEM254)&lt;&gt;0,(O254)="")</formula>
    </cfRule>
  </conditionalFormatting>
  <conditionalFormatting sqref="O356">
    <cfRule type="expression" dxfId="419" priority="22">
      <formula>AND($AK356&lt;&gt;"",ISBLANK($E356:$AG356))</formula>
    </cfRule>
  </conditionalFormatting>
  <conditionalFormatting sqref="O356">
    <cfRule type="expression" dxfId="418" priority="23">
      <formula>AND(COUNT(K356:XEM356)&lt;&gt;0,(O356)="")</formula>
    </cfRule>
  </conditionalFormatting>
  <conditionalFormatting sqref="C334:N334">
    <cfRule type="containsBlanks" dxfId="417" priority="21">
      <formula>LEN(TRIM(C334))=0</formula>
    </cfRule>
  </conditionalFormatting>
  <conditionalFormatting sqref="O9">
    <cfRule type="expression" dxfId="416" priority="281">
      <formula>AND(#REF!&lt;&gt;"",ISBLANK(#REF!))</formula>
    </cfRule>
  </conditionalFormatting>
  <conditionalFormatting sqref="O8:O11">
    <cfRule type="expression" dxfId="415" priority="282">
      <formula>AND(COUNT(#REF!)&lt;&gt;0,(O8)="")</formula>
    </cfRule>
  </conditionalFormatting>
  <conditionalFormatting sqref="O8">
    <cfRule type="expression" dxfId="414" priority="283">
      <formula>AND(#REF!&lt;&gt;"",ISBLANK(#REF!))</formula>
    </cfRule>
  </conditionalFormatting>
  <conditionalFormatting sqref="C174:N183">
    <cfRule type="containsBlanks" dxfId="413" priority="20">
      <formula>LEN(TRIM(C174))=0</formula>
    </cfRule>
  </conditionalFormatting>
  <conditionalFormatting sqref="C188:N191">
    <cfRule type="containsBlanks" dxfId="412" priority="19">
      <formula>LEN(TRIM(C188))=0</formula>
    </cfRule>
  </conditionalFormatting>
  <conditionalFormatting sqref="C196:N198">
    <cfRule type="containsBlanks" dxfId="411" priority="18">
      <formula>LEN(TRIM(C196))=0</formula>
    </cfRule>
  </conditionalFormatting>
  <conditionalFormatting sqref="C203:N208">
    <cfRule type="containsBlanks" dxfId="410" priority="17">
      <formula>LEN(TRIM(C203))=0</formula>
    </cfRule>
  </conditionalFormatting>
  <conditionalFormatting sqref="N222">
    <cfRule type="containsBlanks" dxfId="409" priority="15">
      <formula>LEN(TRIM(N222))=0</formula>
    </cfRule>
  </conditionalFormatting>
  <conditionalFormatting sqref="C212:M222">
    <cfRule type="containsBlanks" dxfId="408" priority="16">
      <formula>LEN(TRIM(C212))=0</formula>
    </cfRule>
  </conditionalFormatting>
  <conditionalFormatting sqref="C230:M230">
    <cfRule type="containsBlanks" dxfId="407" priority="14">
      <formula>LEN(TRIM(C230))=0</formula>
    </cfRule>
  </conditionalFormatting>
  <conditionalFormatting sqref="C233:M239">
    <cfRule type="containsBlanks" dxfId="406" priority="13">
      <formula>LEN(TRIM(C233))=0</formula>
    </cfRule>
  </conditionalFormatting>
  <conditionalFormatting sqref="C243:M249">
    <cfRule type="containsBlanks" dxfId="405" priority="12">
      <formula>LEN(TRIM(C243))=0</formula>
    </cfRule>
  </conditionalFormatting>
  <conditionalFormatting sqref="C253:M259">
    <cfRule type="containsBlanks" dxfId="404" priority="11">
      <formula>LEN(TRIM(C253))=0</formula>
    </cfRule>
  </conditionalFormatting>
  <conditionalFormatting sqref="O14:O19">
    <cfRule type="expression" dxfId="403" priority="9">
      <formula>AND($AK12&lt;&gt;"",ISBLANK($E12:$AG12))</formula>
    </cfRule>
  </conditionalFormatting>
  <conditionalFormatting sqref="O14:O19">
    <cfRule type="expression" dxfId="402" priority="10">
      <formula>AND(COUNT(#REF!)&lt;&gt;0,(O14)="")</formula>
    </cfRule>
  </conditionalFormatting>
  <conditionalFormatting sqref="P174">
    <cfRule type="expression" dxfId="401" priority="8">
      <formula>AND(COUNT(L174:XEN174)&lt;&gt;0,(P174)="")</formula>
    </cfRule>
  </conditionalFormatting>
  <conditionalFormatting sqref="P174">
    <cfRule type="expression" dxfId="400" priority="7">
      <formula>AND($AK174&lt;&gt;"",ISBLANK($E174:$AG174))</formula>
    </cfRule>
  </conditionalFormatting>
  <conditionalFormatting sqref="P175:P183">
    <cfRule type="expression" dxfId="399" priority="6">
      <formula>AND(COUNT(L175:XEN175)&lt;&gt;0,(P175)="")</formula>
    </cfRule>
  </conditionalFormatting>
  <conditionalFormatting sqref="P175:P183">
    <cfRule type="expression" dxfId="398" priority="5">
      <formula>AND($AK175&lt;&gt;"",ISBLANK($E175:$AG175))</formula>
    </cfRule>
  </conditionalFormatting>
  <conditionalFormatting sqref="O226">
    <cfRule type="expression" dxfId="397" priority="4">
      <formula>AND(COUNT(K226:XEM226)&lt;&gt;0,(O226)="")</formula>
    </cfRule>
  </conditionalFormatting>
  <conditionalFormatting sqref="O226">
    <cfRule type="expression" dxfId="396" priority="3">
      <formula>AND($AK226&lt;&gt;"",ISBLANK($E226:$AG226))</formula>
    </cfRule>
  </conditionalFormatting>
  <conditionalFormatting sqref="O227">
    <cfRule type="expression" dxfId="395" priority="2">
      <formula>AND(COUNT(K227:XEM227)&lt;&gt;0,(O227)="")</formula>
    </cfRule>
  </conditionalFormatting>
  <conditionalFormatting sqref="O227">
    <cfRule type="expression" dxfId="394" priority="1">
      <formula>AND($AK227&lt;&gt;"",ISBLANK($E227:$AG227))</formula>
    </cfRule>
  </conditionalFormatting>
  <dataValidations count="3"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8:O11 O23:O29 O32:O38 O42:O43 O59:O65 O49:O55 O71:O77 O81:O87 O95:O98 O101:O103 O113:O115 O107:O110 O121:O124 O130:O137 O155:O159 O145:O152 O188:O191 C284:H286 O308:O311 O274 O282 O285:O288 O293:O297 O301:O304 O174:O183 O203:O208 O14:O19" xr:uid="{3881AC9B-A429-44C0-9B39-985CB095050C}">
      <formula1>AND(LEN(C8)&lt;21,ISERROR(SEARCH("&amp;",C8))=TRUE,ISERROR(SEARCH(" ",C8))=TRUE,ISERROR(SEARCH("/",C8))=TRUE,ISERROR(SEARCH(";",C8))=TRUE,ISERROR(SEARCH("=",C8))=TRUE,ISERROR(SEARCH("'",C8))=TRUE)</formula1>
    </dataValidation>
    <dataValidation type="decimal" operator="greaterThanOrEqual" allowBlank="1" showInputMessage="1" showErrorMessage="1" error="The value must be positive" sqref="C8:N11 C14:E21 F14:N18" xr:uid="{403FE896-479E-4755-BB74-E002420B5252}">
      <formula1>0</formula1>
    </dataValidation>
    <dataValidation type="custom" allowBlank="1" showInputMessage="1" showErrorMessage="1" error="Invalid source name, please refer to the guidelines" sqref="O2:O3" xr:uid="{2B9024D4-0A9F-4347-BC40-FB15CAAAB471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9B37-EDAB-4ECD-A810-3DF1F3B56043}">
  <sheetPr>
    <tabColor rgb="FF7030A0"/>
  </sheetPr>
  <dimension ref="A2:P185"/>
  <sheetViews>
    <sheetView zoomScale="70" zoomScaleNormal="70" zoomScaleSheetLayoutView="50" workbookViewId="0">
      <pane xSplit="2" ySplit="2" topLeftCell="D150" activePane="bottomRight" state="frozen"/>
      <selection pane="topRight" activeCell="C1" sqref="C1"/>
      <selection pane="bottomLeft" activeCell="A3" sqref="A3"/>
      <selection pane="bottomRight" activeCell="E81" sqref="E81"/>
    </sheetView>
  </sheetViews>
  <sheetFormatPr defaultRowHeight="14.4" x14ac:dyDescent="0.3"/>
  <cols>
    <col min="1" max="1" width="48" customWidth="1"/>
    <col min="2" max="2" width="13.88671875" bestFit="1" customWidth="1"/>
    <col min="3" max="3" width="11.109375" bestFit="1" customWidth="1"/>
    <col min="15" max="15" width="16.6640625" customWidth="1"/>
    <col min="16" max="16" width="38" customWidth="1"/>
  </cols>
  <sheetData>
    <row r="2" spans="1:16" ht="15.6" x14ac:dyDescent="0.3">
      <c r="A2" s="78" t="s">
        <v>55</v>
      </c>
      <c r="B2" s="78"/>
      <c r="C2" s="78">
        <v>2010</v>
      </c>
      <c r="D2" s="78">
        <v>2011</v>
      </c>
      <c r="E2" s="78">
        <v>2012</v>
      </c>
      <c r="F2" s="78">
        <v>2013</v>
      </c>
      <c r="G2" s="78">
        <v>2014</v>
      </c>
      <c r="H2" s="78">
        <v>2015</v>
      </c>
      <c r="I2" s="78">
        <v>2016</v>
      </c>
      <c r="J2" s="78">
        <v>2017</v>
      </c>
      <c r="K2" s="78">
        <v>2018</v>
      </c>
      <c r="L2" s="78">
        <v>2019</v>
      </c>
      <c r="M2" s="78">
        <v>2020</v>
      </c>
      <c r="N2" s="78">
        <v>2021</v>
      </c>
      <c r="O2" s="107" t="s">
        <v>57</v>
      </c>
      <c r="P2" s="107" t="s">
        <v>58</v>
      </c>
    </row>
    <row r="3" spans="1:16" ht="18" x14ac:dyDescent="0.35">
      <c r="A3" s="48" t="s">
        <v>59</v>
      </c>
      <c r="B3" s="48" t="s">
        <v>56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8" x14ac:dyDescent="0.3">
      <c r="A5" s="2" t="s">
        <v>959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6" x14ac:dyDescent="0.3">
      <c r="A7" s="12" t="s">
        <v>960</v>
      </c>
      <c r="B7" s="197" t="s">
        <v>84</v>
      </c>
      <c r="C7" s="17">
        <v>609</v>
      </c>
      <c r="D7" s="17">
        <v>585</v>
      </c>
      <c r="E7" s="17">
        <v>597</v>
      </c>
      <c r="F7" s="17">
        <v>590.20000000000005</v>
      </c>
      <c r="G7" s="17">
        <v>582</v>
      </c>
      <c r="H7" s="17">
        <v>580.70000000000005</v>
      </c>
      <c r="I7" s="17">
        <v>588</v>
      </c>
      <c r="J7" s="17">
        <v>597.79999999999995</v>
      </c>
      <c r="K7" s="17">
        <v>602.6</v>
      </c>
      <c r="L7" s="17">
        <v>617.4</v>
      </c>
      <c r="M7" s="17">
        <v>626</v>
      </c>
      <c r="N7" s="17">
        <v>626.5</v>
      </c>
      <c r="O7" s="18" t="s">
        <v>8</v>
      </c>
      <c r="P7" s="18" t="s">
        <v>961</v>
      </c>
    </row>
    <row r="8" spans="1:16" ht="15.6" x14ac:dyDescent="0.3">
      <c r="A8" s="78"/>
      <c r="B8" s="18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61"/>
    </row>
    <row r="9" spans="1:16" ht="15.6" x14ac:dyDescent="0.3">
      <c r="A9" s="8" t="s">
        <v>962</v>
      </c>
      <c r="B9" s="18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78"/>
      <c r="P9" s="162"/>
    </row>
    <row r="10" spans="1:16" ht="15.6" x14ac:dyDescent="0.3">
      <c r="A10" s="11"/>
      <c r="B10" s="195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8"/>
      <c r="P10" s="161"/>
    </row>
    <row r="11" spans="1:16" ht="15.6" x14ac:dyDescent="0.3">
      <c r="A11" s="12" t="s">
        <v>963</v>
      </c>
      <c r="B11" s="198" t="s">
        <v>84</v>
      </c>
      <c r="C11" s="17">
        <v>653.6</v>
      </c>
      <c r="D11" s="17">
        <v>655.9</v>
      </c>
      <c r="E11" s="17">
        <v>657.8</v>
      </c>
      <c r="F11" s="17">
        <v>668</v>
      </c>
      <c r="G11" s="17">
        <v>678</v>
      </c>
      <c r="H11" s="17">
        <v>687</v>
      </c>
      <c r="I11" s="17">
        <v>697</v>
      </c>
      <c r="J11" s="17">
        <v>713.45799999999997</v>
      </c>
      <c r="K11" s="17">
        <v>718.59</v>
      </c>
      <c r="L11" s="17">
        <v>724</v>
      </c>
      <c r="M11" s="17">
        <v>730</v>
      </c>
      <c r="N11" s="17">
        <v>739</v>
      </c>
      <c r="O11" s="18" t="s">
        <v>8</v>
      </c>
      <c r="P11" s="18" t="s">
        <v>964</v>
      </c>
    </row>
    <row r="12" spans="1:16" ht="15.6" x14ac:dyDescent="0.3">
      <c r="A12" s="12" t="s">
        <v>965</v>
      </c>
      <c r="B12" s="198" t="s">
        <v>84</v>
      </c>
      <c r="C12" s="17">
        <v>620.92000000000007</v>
      </c>
      <c r="D12" s="17">
        <v>620.48140000000001</v>
      </c>
      <c r="E12" s="17">
        <v>619.64760000000001</v>
      </c>
      <c r="F12" s="17">
        <v>627.91999999999996</v>
      </c>
      <c r="G12" s="17">
        <v>635.96399999999994</v>
      </c>
      <c r="H12" s="17">
        <v>645.09299999999996</v>
      </c>
      <c r="I12" s="17">
        <v>653.78600000000006</v>
      </c>
      <c r="J12" s="17">
        <v>668.51014599999996</v>
      </c>
      <c r="K12" s="17">
        <v>674.03742</v>
      </c>
      <c r="L12" s="17">
        <v>684</v>
      </c>
      <c r="M12" s="17">
        <v>682.55</v>
      </c>
      <c r="N12" s="17">
        <v>688.00900000000001</v>
      </c>
      <c r="O12" s="18" t="s">
        <v>8</v>
      </c>
      <c r="P12" s="18" t="s">
        <v>964</v>
      </c>
    </row>
    <row r="13" spans="1:16" ht="15.6" x14ac:dyDescent="0.3">
      <c r="A13" s="12" t="s">
        <v>966</v>
      </c>
      <c r="B13" s="198" t="s">
        <v>84</v>
      </c>
      <c r="C13" s="17">
        <v>32.67999999999995</v>
      </c>
      <c r="D13" s="17">
        <v>35.418599999999969</v>
      </c>
      <c r="E13" s="17">
        <v>38.152399999999943</v>
      </c>
      <c r="F13" s="17">
        <v>40.080000000000041</v>
      </c>
      <c r="G13" s="17">
        <v>42.036000000000058</v>
      </c>
      <c r="H13" s="17">
        <v>41.907000000000039</v>
      </c>
      <c r="I13" s="17">
        <v>43.213999999999942</v>
      </c>
      <c r="J13" s="17">
        <v>44.947854000000007</v>
      </c>
      <c r="K13" s="17">
        <v>44.552580000000034</v>
      </c>
      <c r="L13" s="17">
        <v>44.888000000000034</v>
      </c>
      <c r="M13" s="17">
        <v>47</v>
      </c>
      <c r="N13" s="17">
        <v>51</v>
      </c>
      <c r="O13" s="18" t="s">
        <v>8</v>
      </c>
      <c r="P13" s="18" t="s">
        <v>964</v>
      </c>
    </row>
    <row r="14" spans="1:16" ht="15.6" x14ac:dyDescent="0.3">
      <c r="A14" s="12" t="s">
        <v>967</v>
      </c>
      <c r="B14" s="198" t="s">
        <v>84</v>
      </c>
      <c r="C14" s="17">
        <v>208.4984</v>
      </c>
      <c r="D14" s="17">
        <v>211.19979999999998</v>
      </c>
      <c r="E14" s="17">
        <v>212.46939999999995</v>
      </c>
      <c r="F14" s="17">
        <v>219.00192639999997</v>
      </c>
      <c r="G14" s="17">
        <v>212.08178880000003</v>
      </c>
      <c r="H14" s="17">
        <v>213.80205040000004</v>
      </c>
      <c r="I14" s="17">
        <v>221.60400000000001</v>
      </c>
      <c r="J14" s="17">
        <v>271.11403999999999</v>
      </c>
      <c r="K14" s="17">
        <v>301.80780000000004</v>
      </c>
      <c r="L14" s="17">
        <v>325.07599999999996</v>
      </c>
      <c r="M14" s="17">
        <v>308.06000000000006</v>
      </c>
      <c r="N14" s="17">
        <v>325.16000000000003</v>
      </c>
      <c r="O14" s="18" t="s">
        <v>8</v>
      </c>
      <c r="P14" s="18" t="s">
        <v>968</v>
      </c>
    </row>
    <row r="15" spans="1:16" ht="15.6" x14ac:dyDescent="0.3">
      <c r="A15" s="12" t="s">
        <v>969</v>
      </c>
      <c r="B15" s="198" t="s">
        <v>84</v>
      </c>
      <c r="C15" s="17">
        <v>206.86440000000002</v>
      </c>
      <c r="D15" s="17">
        <v>209.28719559999999</v>
      </c>
      <c r="E15" s="17">
        <v>210.25656079999996</v>
      </c>
      <c r="F15" s="17">
        <v>216.59712639999998</v>
      </c>
      <c r="G15" s="17">
        <v>209.47555680000002</v>
      </c>
      <c r="H15" s="17">
        <v>211.24572340000003</v>
      </c>
      <c r="I15" s="17">
        <v>215</v>
      </c>
      <c r="J15" s="17">
        <v>262.9806188</v>
      </c>
      <c r="K15" s="17">
        <v>292.75356600000003</v>
      </c>
      <c r="L15" s="17">
        <v>315.32371999999998</v>
      </c>
      <c r="M15" s="17">
        <v>298.81820000000005</v>
      </c>
      <c r="N15" s="17">
        <v>315.40520000000004</v>
      </c>
      <c r="O15" s="18" t="s">
        <v>8</v>
      </c>
      <c r="P15" s="18" t="s">
        <v>968</v>
      </c>
    </row>
    <row r="16" spans="1:16" ht="15.6" x14ac:dyDescent="0.3">
      <c r="A16" s="12" t="s">
        <v>970</v>
      </c>
      <c r="B16" s="198" t="s">
        <v>84</v>
      </c>
      <c r="C16" s="17">
        <v>445.10160000000002</v>
      </c>
      <c r="D16" s="17">
        <v>444.7002</v>
      </c>
      <c r="E16" s="17">
        <v>445.3306</v>
      </c>
      <c r="F16" s="17">
        <v>448.68687360000001</v>
      </c>
      <c r="G16" s="17">
        <v>465.49581120000005</v>
      </c>
      <c r="H16" s="17">
        <v>473.66434960000009</v>
      </c>
      <c r="I16" s="17">
        <v>486.39599999999996</v>
      </c>
      <c r="J16" s="17">
        <v>442.34395999999998</v>
      </c>
      <c r="K16" s="17">
        <v>416.78219999999999</v>
      </c>
      <c r="L16" s="17">
        <v>398.92400000000004</v>
      </c>
      <c r="M16" s="17">
        <v>421.93999999999994</v>
      </c>
      <c r="N16" s="17">
        <v>413.84</v>
      </c>
      <c r="O16" s="18" t="s">
        <v>8</v>
      </c>
      <c r="P16" s="18" t="s">
        <v>968</v>
      </c>
    </row>
    <row r="17" spans="1:16" ht="15.6" x14ac:dyDescent="0.3">
      <c r="A17" s="12" t="s">
        <v>971</v>
      </c>
      <c r="B17" s="198" t="s">
        <v>84</v>
      </c>
      <c r="C17" s="17">
        <v>414.05560000000003</v>
      </c>
      <c r="D17" s="17">
        <v>411.19420439999999</v>
      </c>
      <c r="E17" s="17">
        <v>409.39103920000002</v>
      </c>
      <c r="F17" s="17">
        <v>411.32287359999998</v>
      </c>
      <c r="G17" s="17">
        <v>426.48844319999989</v>
      </c>
      <c r="H17" s="17">
        <v>433.84727659999993</v>
      </c>
      <c r="I17" s="17">
        <v>438.78600000000006</v>
      </c>
      <c r="J17" s="17">
        <v>405.10038120000002</v>
      </c>
      <c r="K17" s="17">
        <v>381.66843399999999</v>
      </c>
      <c r="L17" s="17">
        <v>368.47828000000004</v>
      </c>
      <c r="M17" s="17">
        <v>385.19179999999994</v>
      </c>
      <c r="N17" s="17">
        <v>377.77679999999998</v>
      </c>
      <c r="O17" s="18" t="s">
        <v>8</v>
      </c>
      <c r="P17" s="18" t="s">
        <v>968</v>
      </c>
    </row>
    <row r="18" spans="1:16" ht="15.6" x14ac:dyDescent="0.3">
      <c r="A18" s="24" t="s">
        <v>972</v>
      </c>
      <c r="B18" s="25" t="s">
        <v>103</v>
      </c>
      <c r="C18" s="163">
        <f>IFERROR((C12+C13)/C11,"")</f>
        <v>1</v>
      </c>
      <c r="D18" s="163">
        <f t="shared" ref="D18:N18" si="0">IFERROR((D12+D13)/D11,"")</f>
        <v>1</v>
      </c>
      <c r="E18" s="163">
        <f t="shared" si="0"/>
        <v>1</v>
      </c>
      <c r="F18" s="163">
        <f t="shared" si="0"/>
        <v>1</v>
      </c>
      <c r="G18" s="163">
        <f t="shared" si="0"/>
        <v>1</v>
      </c>
      <c r="H18" s="163">
        <f t="shared" si="0"/>
        <v>1</v>
      </c>
      <c r="I18" s="163">
        <f t="shared" si="0"/>
        <v>1</v>
      </c>
      <c r="J18" s="163">
        <f t="shared" si="0"/>
        <v>1</v>
      </c>
      <c r="K18" s="163">
        <f t="shared" si="0"/>
        <v>1</v>
      </c>
      <c r="L18" s="163">
        <f t="shared" si="0"/>
        <v>1.0067513812154696</v>
      </c>
      <c r="M18" s="163">
        <f t="shared" si="0"/>
        <v>0.99938356164383557</v>
      </c>
      <c r="N18" s="163">
        <f t="shared" si="0"/>
        <v>1.0000121786197564</v>
      </c>
      <c r="O18" s="78"/>
      <c r="P18" s="78"/>
    </row>
    <row r="19" spans="1:16" ht="15.6" x14ac:dyDescent="0.3">
      <c r="A19" s="24" t="s">
        <v>973</v>
      </c>
      <c r="B19" s="25" t="s">
        <v>103</v>
      </c>
      <c r="C19" s="163">
        <f>IFERROR((C15+C17)/C12,"")</f>
        <v>1</v>
      </c>
      <c r="D19" s="163">
        <f t="shared" ref="D19:N19" si="1">IFERROR((D15+D17)/D12,"")</f>
        <v>1</v>
      </c>
      <c r="E19" s="163">
        <f t="shared" si="1"/>
        <v>1</v>
      </c>
      <c r="F19" s="163">
        <f t="shared" si="1"/>
        <v>1</v>
      </c>
      <c r="G19" s="163">
        <f t="shared" si="1"/>
        <v>1</v>
      </c>
      <c r="H19" s="163">
        <f t="shared" si="1"/>
        <v>1</v>
      </c>
      <c r="I19" s="163">
        <f t="shared" si="1"/>
        <v>1</v>
      </c>
      <c r="J19" s="163">
        <f t="shared" si="1"/>
        <v>0.99935805611542661</v>
      </c>
      <c r="K19" s="163">
        <f t="shared" si="1"/>
        <v>1.0005705617946257</v>
      </c>
      <c r="L19" s="163">
        <f t="shared" si="1"/>
        <v>0.99971052631578949</v>
      </c>
      <c r="M19" s="163">
        <f t="shared" si="1"/>
        <v>1.0021390374331551</v>
      </c>
      <c r="N19" s="163">
        <f t="shared" si="1"/>
        <v>1.0075187969924813</v>
      </c>
      <c r="O19" s="78"/>
      <c r="P19" s="78"/>
    </row>
    <row r="20" spans="1:16" ht="15.6" x14ac:dyDescent="0.3">
      <c r="A20" s="49"/>
      <c r="B20" s="29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78"/>
      <c r="P20" s="78"/>
    </row>
    <row r="21" spans="1:16" ht="15.6" x14ac:dyDescent="0.3">
      <c r="A21" s="8" t="s">
        <v>974</v>
      </c>
      <c r="B21" s="2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78"/>
      <c r="P21" s="78"/>
    </row>
    <row r="22" spans="1:16" ht="15.6" x14ac:dyDescent="0.3">
      <c r="A22" s="11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78"/>
      <c r="P22" s="78"/>
    </row>
    <row r="23" spans="1:16" ht="16.2" x14ac:dyDescent="0.3">
      <c r="A23" s="164" t="s">
        <v>975</v>
      </c>
      <c r="B23" s="29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65"/>
      <c r="P23" s="78"/>
    </row>
    <row r="24" spans="1:16" ht="15.6" x14ac:dyDescent="0.3">
      <c r="A24" s="12" t="s">
        <v>976</v>
      </c>
      <c r="B24" s="29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00"/>
      <c r="P24" s="78"/>
    </row>
    <row r="25" spans="1:16" ht="15.6" x14ac:dyDescent="0.3">
      <c r="A25" s="12" t="s">
        <v>977</v>
      </c>
      <c r="B25" s="198" t="s">
        <v>84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00"/>
      <c r="P25" s="78"/>
    </row>
    <row r="26" spans="1:16" ht="15.6" x14ac:dyDescent="0.3">
      <c r="A26" s="12" t="s">
        <v>978</v>
      </c>
      <c r="B26" s="198" t="s">
        <v>84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00"/>
      <c r="P26" s="78"/>
    </row>
    <row r="27" spans="1:16" ht="16.2" x14ac:dyDescent="0.3">
      <c r="A27" s="12" t="s">
        <v>979</v>
      </c>
      <c r="B27" s="198" t="s">
        <v>84</v>
      </c>
      <c r="C27" s="17">
        <v>339.36546000000004</v>
      </c>
      <c r="D27" s="17">
        <v>350.51296000000002</v>
      </c>
      <c r="E27" s="17">
        <v>339.7734339999999</v>
      </c>
      <c r="F27" s="17">
        <v>342.85133999999999</v>
      </c>
      <c r="G27" s="17">
        <v>363.82499999999999</v>
      </c>
      <c r="H27" s="17">
        <v>376.20352000000008</v>
      </c>
      <c r="I27" s="17">
        <v>373.42752000000007</v>
      </c>
      <c r="J27" s="17">
        <v>363.331683</v>
      </c>
      <c r="K27" s="17">
        <v>358.62092299999995</v>
      </c>
      <c r="L27" s="17">
        <v>352.02843200000001</v>
      </c>
      <c r="M27" s="160"/>
      <c r="N27" s="160"/>
      <c r="O27" s="18" t="s">
        <v>8</v>
      </c>
      <c r="P27" s="18" t="s">
        <v>980</v>
      </c>
    </row>
    <row r="28" spans="1:16" ht="15.6" x14ac:dyDescent="0.3">
      <c r="A28" s="12" t="s">
        <v>981</v>
      </c>
      <c r="B28" s="198" t="s">
        <v>84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00"/>
      <c r="P28" s="78"/>
    </row>
    <row r="29" spans="1:16" ht="15.6" x14ac:dyDescent="0.3">
      <c r="A29" s="12" t="s">
        <v>982</v>
      </c>
      <c r="B29" s="198" t="s">
        <v>84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00"/>
      <c r="P29" s="78"/>
    </row>
    <row r="30" spans="1:16" ht="15.6" x14ac:dyDescent="0.3">
      <c r="A30" s="11"/>
      <c r="B30" s="198" t="s">
        <v>84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8"/>
      <c r="P30" s="78"/>
    </row>
    <row r="31" spans="1:16" ht="15.6" x14ac:dyDescent="0.3">
      <c r="A31" s="164" t="s">
        <v>983</v>
      </c>
      <c r="B31" s="19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78"/>
      <c r="P31" s="78"/>
    </row>
    <row r="32" spans="1:16" ht="15.6" x14ac:dyDescent="0.3">
      <c r="A32" s="12" t="s">
        <v>984</v>
      </c>
      <c r="B32" s="198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78"/>
      <c r="P32" s="78"/>
    </row>
    <row r="33" spans="1:16" ht="15.6" x14ac:dyDescent="0.3">
      <c r="A33" s="12" t="s">
        <v>985</v>
      </c>
      <c r="B33" s="198" t="s">
        <v>84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8"/>
      <c r="P33" s="78"/>
    </row>
    <row r="34" spans="1:16" ht="15.6" x14ac:dyDescent="0.3">
      <c r="A34" s="12" t="s">
        <v>986</v>
      </c>
      <c r="B34" s="198" t="s">
        <v>84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78"/>
      <c r="P34" s="78"/>
    </row>
    <row r="35" spans="1:16" ht="15.6" x14ac:dyDescent="0.3">
      <c r="A35" s="12" t="s">
        <v>987</v>
      </c>
      <c r="B35" s="198" t="s">
        <v>84</v>
      </c>
      <c r="C35" s="17">
        <v>108.25758174000001</v>
      </c>
      <c r="D35" s="17">
        <v>112.86517311999997</v>
      </c>
      <c r="E35" s="17">
        <v>109.74681918199998</v>
      </c>
      <c r="F35" s="17">
        <v>112.45523951999998</v>
      </c>
      <c r="G35" s="17">
        <v>113.877225</v>
      </c>
      <c r="H35" s="17">
        <v>116.99929472000002</v>
      </c>
      <c r="I35" s="17">
        <v>116.88281376000005</v>
      </c>
      <c r="J35" s="17">
        <v>130.07274251399997</v>
      </c>
      <c r="K35" s="17">
        <v>144.52423196899997</v>
      </c>
      <c r="L35" s="17">
        <v>158.06076596800003</v>
      </c>
      <c r="M35" s="17"/>
      <c r="N35" s="17"/>
      <c r="O35" s="18" t="s">
        <v>8</v>
      </c>
      <c r="P35" s="18" t="s">
        <v>988</v>
      </c>
    </row>
    <row r="36" spans="1:16" ht="15.6" x14ac:dyDescent="0.3">
      <c r="A36" s="12" t="s">
        <v>989</v>
      </c>
      <c r="B36" s="198" t="s">
        <v>84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78"/>
      <c r="P36" s="78"/>
    </row>
    <row r="37" spans="1:16" ht="15.6" x14ac:dyDescent="0.3">
      <c r="A37" s="12" t="s">
        <v>990</v>
      </c>
      <c r="B37" s="198" t="s">
        <v>84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8"/>
      <c r="P37" s="78"/>
    </row>
    <row r="38" spans="1:16" ht="15.6" x14ac:dyDescent="0.3">
      <c r="A38" s="11"/>
      <c r="B38" s="198" t="s">
        <v>84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8"/>
      <c r="P38" s="78"/>
    </row>
    <row r="39" spans="1:16" ht="15.6" x14ac:dyDescent="0.3">
      <c r="A39" s="164" t="s">
        <v>971</v>
      </c>
      <c r="B39" s="134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78"/>
      <c r="P39" s="78"/>
    </row>
    <row r="40" spans="1:16" ht="15.6" x14ac:dyDescent="0.3">
      <c r="A40" s="12" t="s">
        <v>991</v>
      </c>
      <c r="B40" s="198" t="s">
        <v>84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9"/>
      <c r="M40" s="171"/>
      <c r="N40" s="166"/>
      <c r="O40" s="78"/>
      <c r="P40" s="78"/>
    </row>
    <row r="41" spans="1:16" ht="15.6" x14ac:dyDescent="0.3">
      <c r="A41" s="12" t="s">
        <v>992</v>
      </c>
      <c r="B41" s="198" t="s">
        <v>84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9"/>
      <c r="M41" s="171"/>
      <c r="N41" s="166"/>
      <c r="O41" s="96"/>
      <c r="P41" s="96"/>
    </row>
    <row r="42" spans="1:16" ht="15.6" x14ac:dyDescent="0.3">
      <c r="A42" s="12" t="s">
        <v>993</v>
      </c>
      <c r="B42" s="198" t="s">
        <v>84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9"/>
      <c r="M42" s="171"/>
      <c r="N42" s="166"/>
      <c r="O42" s="96"/>
      <c r="P42" s="96"/>
    </row>
    <row r="43" spans="1:16" ht="16.2" x14ac:dyDescent="0.3">
      <c r="A43" s="12" t="s">
        <v>994</v>
      </c>
      <c r="B43" s="198" t="s">
        <v>84</v>
      </c>
      <c r="C43" s="17">
        <v>231.10787826000004</v>
      </c>
      <c r="D43" s="17">
        <v>237.64778688000001</v>
      </c>
      <c r="E43" s="17">
        <v>230.02661481799998</v>
      </c>
      <c r="F43" s="17">
        <v>230.39610048000003</v>
      </c>
      <c r="G43" s="17">
        <v>249.94777499999998</v>
      </c>
      <c r="H43" s="17">
        <v>259.20422528</v>
      </c>
      <c r="I43" s="17">
        <v>256.54470624000004</v>
      </c>
      <c r="J43" s="17">
        <v>233.25894048599994</v>
      </c>
      <c r="K43" s="17">
        <v>214.09669103099998</v>
      </c>
      <c r="L43" s="170">
        <v>193.96766603200004</v>
      </c>
      <c r="M43" s="172"/>
      <c r="N43" s="17"/>
      <c r="O43" s="18" t="s">
        <v>8</v>
      </c>
      <c r="P43" s="96"/>
    </row>
    <row r="44" spans="1:16" ht="15.6" x14ac:dyDescent="0.3">
      <c r="A44" s="12" t="s">
        <v>995</v>
      </c>
      <c r="B44" s="198" t="s">
        <v>84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9"/>
      <c r="M44" s="171"/>
      <c r="N44" s="166"/>
      <c r="O44" s="18"/>
      <c r="P44" s="96"/>
    </row>
    <row r="45" spans="1:16" ht="15.6" x14ac:dyDescent="0.3">
      <c r="A45" s="12" t="s">
        <v>996</v>
      </c>
      <c r="B45" s="198" t="s">
        <v>84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9"/>
      <c r="M45" s="171"/>
      <c r="N45" s="166"/>
      <c r="O45" s="18"/>
      <c r="P45" s="96"/>
    </row>
    <row r="46" spans="1:16" ht="15.6" x14ac:dyDescent="0.3">
      <c r="A46" s="11"/>
      <c r="B46" s="2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5.6" x14ac:dyDescent="0.3">
      <c r="A47" s="24" t="s">
        <v>997</v>
      </c>
      <c r="B47" s="2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5.6" x14ac:dyDescent="0.3">
      <c r="A48" s="24" t="s">
        <v>998</v>
      </c>
      <c r="B48" s="25" t="s">
        <v>103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6" x14ac:dyDescent="0.3">
      <c r="A49" s="24" t="s">
        <v>999</v>
      </c>
      <c r="B49" s="25" t="s">
        <v>103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5.6" x14ac:dyDescent="0.3">
      <c r="A50" s="24" t="s">
        <v>1000</v>
      </c>
      <c r="B50" s="25" t="s">
        <v>103</v>
      </c>
      <c r="C50" s="163">
        <f>IFERROR((C43+C35)/C27,"")</f>
        <v>1</v>
      </c>
      <c r="D50" s="163">
        <f t="shared" ref="D50:N50" si="2">IFERROR((D43+D35)/D27,"")</f>
        <v>0.99999999999999989</v>
      </c>
      <c r="E50" s="163">
        <f t="shared" si="2"/>
        <v>1.0000000000000002</v>
      </c>
      <c r="F50" s="163">
        <f t="shared" si="2"/>
        <v>1</v>
      </c>
      <c r="G50" s="163">
        <f t="shared" si="2"/>
        <v>1</v>
      </c>
      <c r="H50" s="163">
        <f t="shared" si="2"/>
        <v>0.99999999999999989</v>
      </c>
      <c r="I50" s="163">
        <f t="shared" si="2"/>
        <v>1</v>
      </c>
      <c r="J50" s="163">
        <f t="shared" si="2"/>
        <v>0.99999999999999967</v>
      </c>
      <c r="K50" s="163">
        <f t="shared" si="2"/>
        <v>1</v>
      </c>
      <c r="L50" s="163">
        <f t="shared" si="2"/>
        <v>1.0000000000000002</v>
      </c>
      <c r="M50" s="163" t="str">
        <f t="shared" si="2"/>
        <v/>
      </c>
      <c r="N50" s="163" t="str">
        <f t="shared" si="2"/>
        <v/>
      </c>
      <c r="O50" s="96"/>
      <c r="P50" s="96"/>
    </row>
    <row r="51" spans="1:16" ht="15.6" x14ac:dyDescent="0.3">
      <c r="A51" s="24" t="s">
        <v>1001</v>
      </c>
      <c r="B51" s="25" t="s">
        <v>103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18"/>
      <c r="P51" s="96"/>
    </row>
    <row r="52" spans="1:16" ht="15.6" x14ac:dyDescent="0.3">
      <c r="A52" s="24" t="s">
        <v>1002</v>
      </c>
      <c r="B52" s="25" t="s">
        <v>103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18"/>
      <c r="P52" s="96"/>
    </row>
    <row r="53" spans="1:16" ht="15.6" x14ac:dyDescent="0.3">
      <c r="A53" s="49"/>
      <c r="B53" s="134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8"/>
      <c r="P53" s="96"/>
    </row>
    <row r="54" spans="1:16" ht="15.6" x14ac:dyDescent="0.3">
      <c r="A54" s="8" t="s">
        <v>1003</v>
      </c>
      <c r="B54" s="134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105"/>
      <c r="P54" s="96"/>
    </row>
    <row r="55" spans="1:16" ht="15.6" x14ac:dyDescent="0.3">
      <c r="A55" s="11"/>
      <c r="B55" s="134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05"/>
      <c r="P55" s="96"/>
    </row>
    <row r="56" spans="1:16" ht="15.6" x14ac:dyDescent="0.3">
      <c r="A56" s="12" t="s">
        <v>1004</v>
      </c>
      <c r="B56" s="198" t="s">
        <v>84</v>
      </c>
      <c r="C56" s="44">
        <v>2.2999999999999998</v>
      </c>
      <c r="D56" s="44">
        <v>1.9</v>
      </c>
      <c r="E56" s="44">
        <v>2</v>
      </c>
      <c r="F56" s="44">
        <v>2.1</v>
      </c>
      <c r="G56" s="44">
        <v>2.7559999999999998</v>
      </c>
      <c r="H56" s="44">
        <v>3.9689999999999999</v>
      </c>
      <c r="I56" s="44">
        <v>4.7</v>
      </c>
      <c r="J56" s="44">
        <v>5.8900000000000006</v>
      </c>
      <c r="K56" s="44">
        <v>6.5</v>
      </c>
      <c r="L56" s="44">
        <v>7</v>
      </c>
      <c r="M56" s="44">
        <v>7.6</v>
      </c>
      <c r="N56" s="44">
        <v>6.7</v>
      </c>
      <c r="O56" s="18" t="s">
        <v>8</v>
      </c>
      <c r="P56" s="18" t="s">
        <v>1005</v>
      </c>
    </row>
    <row r="57" spans="1:16" ht="15.6" x14ac:dyDescent="0.3">
      <c r="A57" s="12" t="s">
        <v>1006</v>
      </c>
      <c r="B57" s="198" t="s">
        <v>84</v>
      </c>
      <c r="C57" s="44">
        <v>0.9</v>
      </c>
      <c r="D57" s="44">
        <v>0.8</v>
      </c>
      <c r="E57" s="44">
        <v>0.95</v>
      </c>
      <c r="F57" s="44">
        <v>1.1000000000000001</v>
      </c>
      <c r="G57" s="44">
        <v>1.2</v>
      </c>
      <c r="H57" s="44">
        <v>1.6</v>
      </c>
      <c r="I57" s="44">
        <v>1.9</v>
      </c>
      <c r="J57" s="44">
        <v>2.149</v>
      </c>
      <c r="K57" s="44">
        <v>2.2999999999999998</v>
      </c>
      <c r="L57" s="44">
        <v>2.8</v>
      </c>
      <c r="M57" s="44">
        <v>3</v>
      </c>
      <c r="N57" s="44">
        <v>2.6</v>
      </c>
      <c r="O57" s="18" t="s">
        <v>8</v>
      </c>
      <c r="P57" s="18" t="s">
        <v>1005</v>
      </c>
    </row>
    <row r="58" spans="1:16" ht="15.6" x14ac:dyDescent="0.3">
      <c r="A58" s="12" t="s">
        <v>1007</v>
      </c>
      <c r="B58" s="198" t="s">
        <v>84</v>
      </c>
      <c r="C58" s="44">
        <v>1.4</v>
      </c>
      <c r="D58" s="44">
        <v>1.0999999999999999</v>
      </c>
      <c r="E58" s="44">
        <v>1.05</v>
      </c>
      <c r="F58" s="44">
        <v>1</v>
      </c>
      <c r="G58" s="44">
        <v>1.5660000000000001</v>
      </c>
      <c r="H58" s="44">
        <v>2.3809999999999998</v>
      </c>
      <c r="I58" s="44">
        <v>2.8</v>
      </c>
      <c r="J58" s="44">
        <v>3.7410000000000001</v>
      </c>
      <c r="K58" s="44">
        <v>4.2</v>
      </c>
      <c r="L58" s="44">
        <v>4.2</v>
      </c>
      <c r="M58" s="44">
        <v>4.5999999999999996</v>
      </c>
      <c r="N58" s="44">
        <v>4.0999999999999996</v>
      </c>
      <c r="O58" s="18" t="s">
        <v>8</v>
      </c>
      <c r="P58" s="18" t="s">
        <v>1005</v>
      </c>
    </row>
    <row r="59" spans="1:16" ht="15.6" x14ac:dyDescent="0.3">
      <c r="A59" s="24" t="s">
        <v>102</v>
      </c>
      <c r="B59" s="25" t="s">
        <v>103</v>
      </c>
      <c r="C59" s="163">
        <f>IFERROR((C57+C58)/C56,"")</f>
        <v>1</v>
      </c>
      <c r="D59" s="163">
        <f t="shared" ref="D59:N59" si="3">IFERROR((D57+D58)/D56,"")</f>
        <v>1</v>
      </c>
      <c r="E59" s="163">
        <f t="shared" si="3"/>
        <v>1</v>
      </c>
      <c r="F59" s="163">
        <f t="shared" si="3"/>
        <v>1</v>
      </c>
      <c r="G59" s="163">
        <f t="shared" si="3"/>
        <v>1.0036284470246735</v>
      </c>
      <c r="H59" s="163">
        <f t="shared" si="3"/>
        <v>1.0030234315948601</v>
      </c>
      <c r="I59" s="163">
        <f t="shared" si="3"/>
        <v>0.99999999999999978</v>
      </c>
      <c r="J59" s="163">
        <f t="shared" si="3"/>
        <v>1</v>
      </c>
      <c r="K59" s="163">
        <f t="shared" si="3"/>
        <v>1</v>
      </c>
      <c r="L59" s="163">
        <f t="shared" si="3"/>
        <v>1</v>
      </c>
      <c r="M59" s="163">
        <f t="shared" si="3"/>
        <v>1</v>
      </c>
      <c r="N59" s="163">
        <f t="shared" si="3"/>
        <v>0.99999999999999989</v>
      </c>
      <c r="O59" s="96"/>
      <c r="P59" s="96"/>
    </row>
    <row r="60" spans="1:16" ht="15.6" x14ac:dyDescent="0.3">
      <c r="A60" s="11"/>
      <c r="B60" s="2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5.6" x14ac:dyDescent="0.3">
      <c r="A61" s="8" t="s">
        <v>1008</v>
      </c>
      <c r="B61" s="174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18"/>
      <c r="P61" s="96"/>
    </row>
    <row r="62" spans="1:16" ht="15.6" x14ac:dyDescent="0.3">
      <c r="A62" s="11"/>
      <c r="B62" s="173"/>
      <c r="C62" s="23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18"/>
      <c r="P62" s="96"/>
    </row>
    <row r="63" spans="1:16" ht="15.6" x14ac:dyDescent="0.3">
      <c r="A63" s="12" t="s">
        <v>1009</v>
      </c>
      <c r="B63" s="198" t="s">
        <v>84</v>
      </c>
      <c r="C63" s="216">
        <v>366.95284802168334</v>
      </c>
      <c r="D63" s="216">
        <v>366.69364310133557</v>
      </c>
      <c r="E63" s="216">
        <v>366.20088190072926</v>
      </c>
      <c r="F63" s="216">
        <v>371.08972545541349</v>
      </c>
      <c r="G63" s="216">
        <v>375.84358860926005</v>
      </c>
      <c r="H63" s="216">
        <v>381.23866776533487</v>
      </c>
      <c r="I63" s="216">
        <v>386.37607855553733</v>
      </c>
      <c r="J63" s="216">
        <v>394.82417325770501</v>
      </c>
      <c r="K63" s="216">
        <v>398.57159323017407</v>
      </c>
      <c r="L63" s="216">
        <v>404.11500899137263</v>
      </c>
      <c r="M63" s="216">
        <v>404.23793334940342</v>
      </c>
      <c r="N63" s="216">
        <v>409.65842475257114</v>
      </c>
      <c r="O63" s="18" t="s">
        <v>8</v>
      </c>
      <c r="P63" s="18" t="s">
        <v>1010</v>
      </c>
    </row>
    <row r="64" spans="1:16" ht="15.6" x14ac:dyDescent="0.3">
      <c r="A64" s="12" t="s">
        <v>1011</v>
      </c>
      <c r="B64" s="198" t="s">
        <v>84</v>
      </c>
      <c r="C64" s="216">
        <v>70.784880000000015</v>
      </c>
      <c r="D64" s="216">
        <v>81.903544800000006</v>
      </c>
      <c r="E64" s="216">
        <v>83.032778400000012</v>
      </c>
      <c r="F64" s="216">
        <v>85.397120000000001</v>
      </c>
      <c r="G64" s="216">
        <v>89.034959999999998</v>
      </c>
      <c r="H64" s="216">
        <v>96.76394999999998</v>
      </c>
      <c r="I64" s="216">
        <v>103.95197400000001</v>
      </c>
      <c r="J64" s="216">
        <v>121.59074199999999</v>
      </c>
      <c r="K64" s="216">
        <v>143.65188600000002</v>
      </c>
      <c r="L64" s="216">
        <v>162.744876</v>
      </c>
      <c r="M64" s="216">
        <v>162.11036999999999</v>
      </c>
      <c r="N64" s="216">
        <v>164.977316</v>
      </c>
      <c r="O64" s="18" t="s">
        <v>8</v>
      </c>
      <c r="P64" s="18" t="s">
        <v>1010</v>
      </c>
    </row>
    <row r="65" spans="1:16" ht="15.6" x14ac:dyDescent="0.3">
      <c r="A65" s="12" t="s">
        <v>1012</v>
      </c>
      <c r="B65" s="198" t="s">
        <v>84</v>
      </c>
      <c r="C65" s="216">
        <v>620.92000000000007</v>
      </c>
      <c r="D65" s="216">
        <v>620.48140000000001</v>
      </c>
      <c r="E65" s="216">
        <v>619.64760000000001</v>
      </c>
      <c r="F65" s="216">
        <v>627.91999999999996</v>
      </c>
      <c r="G65" s="216">
        <v>635.96399999999994</v>
      </c>
      <c r="H65" s="216">
        <v>645.09299999999996</v>
      </c>
      <c r="I65" s="216">
        <v>653.78600000000006</v>
      </c>
      <c r="J65" s="216">
        <v>668.51014599999996</v>
      </c>
      <c r="K65" s="216">
        <v>674.03742</v>
      </c>
      <c r="L65" s="216">
        <v>684</v>
      </c>
      <c r="M65" s="216">
        <v>682.55</v>
      </c>
      <c r="N65" s="216">
        <v>688.00900000000001</v>
      </c>
      <c r="O65" s="18" t="s">
        <v>8</v>
      </c>
      <c r="P65" s="18" t="s">
        <v>1013</v>
      </c>
    </row>
    <row r="66" spans="1:16" x14ac:dyDescent="0.3">
      <c r="A66" s="12" t="s">
        <v>1014</v>
      </c>
      <c r="B66" s="25" t="s">
        <v>103</v>
      </c>
      <c r="C66" s="229">
        <v>0.59098249053289198</v>
      </c>
      <c r="D66" s="229">
        <v>0.59098249053289198</v>
      </c>
      <c r="E66" s="229">
        <v>0.59098249053289198</v>
      </c>
      <c r="F66" s="229">
        <v>0.59098249053289198</v>
      </c>
      <c r="G66" s="229">
        <v>0.59098249053289198</v>
      </c>
      <c r="H66" s="229">
        <v>0.59098249053289198</v>
      </c>
      <c r="I66" s="229">
        <v>0.59098249053289198</v>
      </c>
      <c r="J66" s="229">
        <v>0.59098249053289198</v>
      </c>
      <c r="K66" s="229">
        <v>0.59098249053289198</v>
      </c>
      <c r="L66" s="229">
        <v>0.59098249053289198</v>
      </c>
      <c r="M66" s="229">
        <v>0.59098249053289198</v>
      </c>
      <c r="N66" s="229">
        <v>0.59098249053289198</v>
      </c>
      <c r="O66" s="18" t="s">
        <v>26</v>
      </c>
      <c r="P66" s="18" t="s">
        <v>1010</v>
      </c>
    </row>
    <row r="67" spans="1:16" ht="15.6" x14ac:dyDescent="0.3">
      <c r="A67" s="8" t="s">
        <v>1015</v>
      </c>
      <c r="B67" s="134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96"/>
      <c r="P67" s="96"/>
    </row>
    <row r="68" spans="1:16" ht="15.6" x14ac:dyDescent="0.3">
      <c r="A68" s="11"/>
      <c r="B68" s="99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5.6" x14ac:dyDescent="0.3">
      <c r="A69" s="164" t="s">
        <v>1016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5.6" x14ac:dyDescent="0.3">
      <c r="A70" s="12" t="s">
        <v>1017</v>
      </c>
      <c r="B70" s="198" t="s">
        <v>1018</v>
      </c>
      <c r="C70" s="17">
        <v>61.337209302325576</v>
      </c>
      <c r="D70" s="17">
        <v>61.472785485592318</v>
      </c>
      <c r="E70" s="17">
        <v>61.614472484037705</v>
      </c>
      <c r="F70" s="17">
        <v>61.540212443095598</v>
      </c>
      <c r="G70" s="17">
        <v>62.2</v>
      </c>
      <c r="H70" s="17">
        <v>62.215909090909093</v>
      </c>
      <c r="I70" s="17">
        <v>62.217514124293785</v>
      </c>
      <c r="J70" s="17">
        <v>62.302195784475053</v>
      </c>
      <c r="K70" s="17">
        <v>61.509344688904655</v>
      </c>
      <c r="L70" s="17">
        <v>63</v>
      </c>
      <c r="M70" s="17">
        <v>63.5</v>
      </c>
      <c r="N70" s="17">
        <v>63.6</v>
      </c>
      <c r="O70" s="18" t="s">
        <v>8</v>
      </c>
      <c r="P70" s="18" t="s">
        <v>1019</v>
      </c>
    </row>
    <row r="71" spans="1:16" ht="15.6" x14ac:dyDescent="0.3">
      <c r="A71" s="12" t="s">
        <v>1020</v>
      </c>
      <c r="B71" s="198" t="s">
        <v>1018</v>
      </c>
      <c r="C71" s="176"/>
      <c r="D71" s="17">
        <v>33755</v>
      </c>
      <c r="E71" s="17">
        <v>43913</v>
      </c>
      <c r="F71" s="17">
        <v>47300</v>
      </c>
      <c r="G71" s="17">
        <v>52645</v>
      </c>
      <c r="H71" s="17">
        <v>78151</v>
      </c>
      <c r="I71" s="17">
        <v>98567</v>
      </c>
      <c r="J71" s="17">
        <v>110868</v>
      </c>
      <c r="K71" s="17">
        <v>118375</v>
      </c>
      <c r="L71" s="17">
        <v>145147</v>
      </c>
      <c r="M71" s="17">
        <v>195024</v>
      </c>
      <c r="N71" s="17">
        <v>190702</v>
      </c>
      <c r="O71" s="354" t="s">
        <v>51</v>
      </c>
      <c r="P71" s="18" t="s">
        <v>1019</v>
      </c>
    </row>
    <row r="72" spans="1:16" ht="15.6" x14ac:dyDescent="0.3">
      <c r="A72" s="12" t="s">
        <v>1021</v>
      </c>
      <c r="B72" s="198" t="s">
        <v>1018</v>
      </c>
      <c r="C72" s="176"/>
      <c r="D72" s="17">
        <v>278731</v>
      </c>
      <c r="E72" s="17">
        <v>408523</v>
      </c>
      <c r="F72" s="17">
        <v>427104</v>
      </c>
      <c r="G72" s="17">
        <v>883089</v>
      </c>
      <c r="H72" s="17">
        <v>986325</v>
      </c>
      <c r="I72" s="17">
        <v>1143774</v>
      </c>
      <c r="J72" s="17">
        <v>1233013</v>
      </c>
      <c r="K72" s="17">
        <v>1296951</v>
      </c>
      <c r="L72" s="17">
        <v>1598075</v>
      </c>
      <c r="M72" s="17">
        <v>1529054</v>
      </c>
      <c r="N72" s="17">
        <v>1890258</v>
      </c>
      <c r="O72" s="18" t="s">
        <v>51</v>
      </c>
      <c r="P72" s="18" t="s">
        <v>1019</v>
      </c>
    </row>
    <row r="73" spans="1:16" ht="15.6" x14ac:dyDescent="0.3">
      <c r="A73" s="11"/>
      <c r="B73" s="198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8"/>
      <c r="P73" s="96"/>
    </row>
    <row r="74" spans="1:16" ht="15.6" x14ac:dyDescent="0.3">
      <c r="A74" s="164" t="s">
        <v>1022</v>
      </c>
      <c r="B74" s="19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8"/>
      <c r="P74" s="96"/>
    </row>
    <row r="75" spans="1:16" ht="15.6" x14ac:dyDescent="0.3">
      <c r="A75" s="12" t="s">
        <v>1023</v>
      </c>
      <c r="B75" s="198" t="s">
        <v>1018</v>
      </c>
      <c r="C75" s="17">
        <v>102.32358003442341</v>
      </c>
      <c r="D75" s="17">
        <v>107.35140771637121</v>
      </c>
      <c r="E75" s="17">
        <v>117.28643216080403</v>
      </c>
      <c r="F75" s="17">
        <v>120.44252044252045</v>
      </c>
      <c r="G75" s="17">
        <v>106.13207547169812</v>
      </c>
      <c r="H75" s="17">
        <v>100.1</v>
      </c>
      <c r="I75" s="17">
        <v>98.2</v>
      </c>
      <c r="J75" s="17">
        <v>91.355932203389827</v>
      </c>
      <c r="K75" s="17">
        <v>90</v>
      </c>
      <c r="L75" s="17">
        <v>94</v>
      </c>
      <c r="M75" s="17">
        <v>93.15789473684211</v>
      </c>
      <c r="N75" s="17">
        <v>91.492537313432834</v>
      </c>
      <c r="O75" s="18" t="s">
        <v>8</v>
      </c>
      <c r="P75" s="18" t="s">
        <v>1024</v>
      </c>
    </row>
    <row r="76" spans="1:16" ht="15.6" x14ac:dyDescent="0.3">
      <c r="A76" s="12" t="s">
        <v>1025</v>
      </c>
      <c r="B76" s="198" t="s">
        <v>1018</v>
      </c>
      <c r="C76" s="17">
        <v>163.73507057546146</v>
      </c>
      <c r="D76" s="17">
        <v>164.05307599517491</v>
      </c>
      <c r="E76" s="17">
        <v>175.36842105263159</v>
      </c>
      <c r="F76" s="17">
        <v>167.98561151079136</v>
      </c>
      <c r="G76" s="17">
        <v>157.22689075630251</v>
      </c>
      <c r="H76" s="17">
        <v>150.44080604534005</v>
      </c>
      <c r="I76" s="17">
        <v>147.41288278775082</v>
      </c>
      <c r="J76" s="17">
        <v>145.23809523809524</v>
      </c>
      <c r="K76" s="17">
        <v>136.52173913043478</v>
      </c>
      <c r="L76" s="17">
        <v>142.85714285714286</v>
      </c>
      <c r="M76" s="17">
        <v>141.66666666666666</v>
      </c>
      <c r="N76" s="17">
        <v>138.84615384615384</v>
      </c>
      <c r="O76" s="18" t="s">
        <v>8</v>
      </c>
      <c r="P76" s="18" t="s">
        <v>1024</v>
      </c>
    </row>
    <row r="77" spans="1:16" ht="15.6" x14ac:dyDescent="0.3">
      <c r="A77" s="12" t="s">
        <v>1026</v>
      </c>
      <c r="B77" s="198" t="s">
        <v>1018</v>
      </c>
      <c r="C77" s="17">
        <v>62.1</v>
      </c>
      <c r="D77" s="17">
        <v>64.187327823691462</v>
      </c>
      <c r="E77" s="17">
        <v>64.230769230769226</v>
      </c>
      <c r="F77" s="17">
        <v>65.770423991726986</v>
      </c>
      <c r="G77" s="17">
        <v>67.305236270753511</v>
      </c>
      <c r="H77" s="17">
        <v>66.568668626627471</v>
      </c>
      <c r="I77" s="17">
        <v>64.8</v>
      </c>
      <c r="J77" s="17">
        <v>62</v>
      </c>
      <c r="K77" s="17">
        <v>64.099999999999994</v>
      </c>
      <c r="L77" s="17">
        <v>61.6</v>
      </c>
      <c r="M77" s="17">
        <v>61.916246437184824</v>
      </c>
      <c r="N77" s="17">
        <v>63</v>
      </c>
      <c r="O77" s="18" t="s">
        <v>8</v>
      </c>
      <c r="P77" s="18" t="s">
        <v>1024</v>
      </c>
    </row>
    <row r="78" spans="1:16" ht="15.6" x14ac:dyDescent="0.3">
      <c r="A78" s="11"/>
      <c r="B78" s="134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18"/>
      <c r="P78" s="96"/>
    </row>
    <row r="79" spans="1:16" ht="18" x14ac:dyDescent="0.3">
      <c r="A79" s="2" t="s">
        <v>1027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6" x14ac:dyDescent="0.3">
      <c r="A80" s="8" t="s">
        <v>1028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5.6" x14ac:dyDescent="0.3">
      <c r="A81" s="1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5.6" x14ac:dyDescent="0.3">
      <c r="A82" s="164" t="s">
        <v>1029</v>
      </c>
      <c r="B82" s="29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18"/>
      <c r="P82" s="96"/>
    </row>
    <row r="83" spans="1:16" ht="15.6" x14ac:dyDescent="0.3">
      <c r="A83" s="12" t="s">
        <v>1030</v>
      </c>
      <c r="B83" s="22">
        <v>1</v>
      </c>
      <c r="C83" s="229">
        <v>0.59098249053289198</v>
      </c>
      <c r="D83" s="229">
        <v>0.59098249053289198</v>
      </c>
      <c r="E83" s="229">
        <v>0.59098249053289198</v>
      </c>
      <c r="F83" s="229">
        <v>0.59098249053289198</v>
      </c>
      <c r="G83" s="229">
        <v>0.59098249053289198</v>
      </c>
      <c r="H83" s="229">
        <v>0.59098249053289198</v>
      </c>
      <c r="I83" s="229">
        <v>0.59098249053289198</v>
      </c>
      <c r="J83" s="229">
        <v>0.59098249053289198</v>
      </c>
      <c r="K83" s="229">
        <v>0.59098249053289198</v>
      </c>
      <c r="L83" s="229">
        <v>0.59098249053289198</v>
      </c>
      <c r="M83" s="229">
        <v>0.59098249053289198</v>
      </c>
      <c r="N83" s="229">
        <v>0.59098249053289198</v>
      </c>
      <c r="O83" s="178" t="s">
        <v>26</v>
      </c>
      <c r="P83" s="298" t="s">
        <v>1031</v>
      </c>
    </row>
    <row r="84" spans="1:16" ht="15.6" x14ac:dyDescent="0.3">
      <c r="A84" s="12" t="s">
        <v>1032</v>
      </c>
      <c r="B84" s="22">
        <v>1</v>
      </c>
      <c r="C84" s="229">
        <v>0.25000000000000006</v>
      </c>
      <c r="D84" s="229">
        <v>0.25199999999999995</v>
      </c>
      <c r="E84" s="229">
        <v>0.25799999999999995</v>
      </c>
      <c r="F84" s="229">
        <v>0.26</v>
      </c>
      <c r="G84" s="229">
        <v>0.26100000000000001</v>
      </c>
      <c r="H84" s="229">
        <v>0.26200000000000001</v>
      </c>
      <c r="I84" s="229">
        <v>0.27</v>
      </c>
      <c r="J84" s="229">
        <v>0.27200000000000002</v>
      </c>
      <c r="K84" s="229">
        <v>0.28000000000000003</v>
      </c>
      <c r="L84" s="229">
        <v>0.28999999999999998</v>
      </c>
      <c r="M84" s="229">
        <v>0.3</v>
      </c>
      <c r="N84" s="229">
        <v>0.31000000000000005</v>
      </c>
      <c r="O84" s="178" t="s">
        <v>26</v>
      </c>
      <c r="P84" s="298" t="s">
        <v>1031</v>
      </c>
    </row>
    <row r="85" spans="1:16" ht="15.6" x14ac:dyDescent="0.3">
      <c r="A85" s="49"/>
      <c r="B85" s="198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100"/>
      <c r="P85" s="96"/>
    </row>
    <row r="86" spans="1:16" ht="15.6" x14ac:dyDescent="0.3">
      <c r="A86" s="164" t="s">
        <v>1033</v>
      </c>
      <c r="B86" s="198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100"/>
      <c r="P86" s="96"/>
    </row>
    <row r="87" spans="1:16" x14ac:dyDescent="0.3">
      <c r="A87" s="12" t="s">
        <v>1034</v>
      </c>
      <c r="B87" s="22" t="s">
        <v>224</v>
      </c>
      <c r="C87" s="17">
        <v>97.454933793103407</v>
      </c>
      <c r="D87" s="17">
        <v>98.181859296482415</v>
      </c>
      <c r="E87" s="17">
        <v>86.091666666666669</v>
      </c>
      <c r="F87" s="17">
        <v>76.498756218905484</v>
      </c>
      <c r="G87" s="17">
        <v>89.179317931793179</v>
      </c>
      <c r="H87" s="17">
        <v>102.20444444444445</v>
      </c>
      <c r="I87" s="17">
        <v>121.37222222222223</v>
      </c>
      <c r="J87" s="17">
        <v>111.97222222222221</v>
      </c>
      <c r="K87" s="17">
        <v>99.333333333333314</v>
      </c>
      <c r="L87" s="17">
        <v>108.18055555555554</v>
      </c>
      <c r="M87" s="17">
        <v>74.166666666666671</v>
      </c>
      <c r="N87" s="17">
        <v>54.722222222222221</v>
      </c>
      <c r="O87" s="18" t="s">
        <v>26</v>
      </c>
      <c r="P87" s="298" t="s">
        <v>1035</v>
      </c>
    </row>
    <row r="88" spans="1:16" x14ac:dyDescent="0.3">
      <c r="A88" s="12" t="s">
        <v>1036</v>
      </c>
      <c r="B88" s="22" t="s">
        <v>224</v>
      </c>
      <c r="C88" s="17">
        <v>50.06</v>
      </c>
      <c r="D88" s="17">
        <v>50.06</v>
      </c>
      <c r="E88" s="17">
        <v>37.916666666666664</v>
      </c>
      <c r="F88" s="17">
        <v>37.916666666666664</v>
      </c>
      <c r="G88" s="17">
        <v>50.555555555555557</v>
      </c>
      <c r="H88" s="17">
        <v>63.194444444444443</v>
      </c>
      <c r="I88" s="17">
        <v>88.472222222222243</v>
      </c>
      <c r="J88" s="17">
        <v>88.472222222222243</v>
      </c>
      <c r="K88" s="17">
        <v>75.833333333333329</v>
      </c>
      <c r="L88" s="17">
        <v>84.680555555555557</v>
      </c>
      <c r="M88" s="17">
        <v>50.555555555555557</v>
      </c>
      <c r="N88" s="17">
        <v>43.055555555555557</v>
      </c>
      <c r="O88" s="18" t="s">
        <v>26</v>
      </c>
      <c r="P88" s="298" t="s">
        <v>1031</v>
      </c>
    </row>
    <row r="89" spans="1:16" x14ac:dyDescent="0.3">
      <c r="A89" s="12" t="s">
        <v>138</v>
      </c>
      <c r="B89" s="22" t="s">
        <v>224</v>
      </c>
      <c r="C89" s="17">
        <v>38.163217816655596</v>
      </c>
      <c r="D89" s="17">
        <v>48.121859296482413</v>
      </c>
      <c r="E89" s="17">
        <v>48.174999999999997</v>
      </c>
      <c r="F89" s="17">
        <v>38.582089552238806</v>
      </c>
      <c r="G89" s="17">
        <v>38.623762376237629</v>
      </c>
      <c r="H89" s="17">
        <v>39.009999999999991</v>
      </c>
      <c r="I89" s="17">
        <v>32.899999999999991</v>
      </c>
      <c r="J89" s="17">
        <v>23.499999999999996</v>
      </c>
      <c r="K89" s="17">
        <v>23.499999999999996</v>
      </c>
      <c r="L89" s="17">
        <v>23.499999999999996</v>
      </c>
      <c r="M89" s="17">
        <v>23.611111111111111</v>
      </c>
      <c r="N89" s="17">
        <v>11.666666666666666</v>
      </c>
      <c r="O89" s="18" t="s">
        <v>26</v>
      </c>
      <c r="P89" s="298" t="s">
        <v>1031</v>
      </c>
    </row>
    <row r="90" spans="1:16" x14ac:dyDescent="0.3">
      <c r="A90" s="12" t="s">
        <v>1037</v>
      </c>
      <c r="B90" s="22" t="s">
        <v>224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8" t="s">
        <v>26</v>
      </c>
      <c r="P90" s="298" t="s">
        <v>1031</v>
      </c>
    </row>
    <row r="91" spans="1:16" x14ac:dyDescent="0.3">
      <c r="A91" s="12" t="s">
        <v>1038</v>
      </c>
      <c r="B91" s="22" t="s">
        <v>224</v>
      </c>
      <c r="C91" s="17">
        <v>363.97572134416765</v>
      </c>
      <c r="D91" s="17">
        <v>340.62370086439086</v>
      </c>
      <c r="E91" s="17">
        <v>369.48011031125372</v>
      </c>
      <c r="F91" s="17">
        <v>354.08486631296938</v>
      </c>
      <c r="G91" s="17">
        <v>352.20499999999998</v>
      </c>
      <c r="H91" s="17">
        <v>329.74056527939837</v>
      </c>
      <c r="I91" s="17">
        <v>387.99558513819187</v>
      </c>
      <c r="J91" s="17">
        <v>372.16582299916627</v>
      </c>
      <c r="K91" s="17">
        <v>371.40846790861639</v>
      </c>
      <c r="L91" s="17">
        <v>403.59888771618063</v>
      </c>
      <c r="M91" s="17">
        <v>392.33333333333337</v>
      </c>
      <c r="N91" s="17">
        <v>421.53472222222217</v>
      </c>
      <c r="O91" s="18" t="s">
        <v>26</v>
      </c>
      <c r="P91" s="298" t="s">
        <v>1031</v>
      </c>
    </row>
    <row r="92" spans="1:16" x14ac:dyDescent="0.3">
      <c r="A92" s="12" t="s">
        <v>1039</v>
      </c>
      <c r="B92" s="22" t="s">
        <v>224</v>
      </c>
      <c r="C92" s="17">
        <v>100.35555555555554</v>
      </c>
      <c r="D92" s="17">
        <v>124.32222222222222</v>
      </c>
      <c r="E92" s="17">
        <v>114.34444444444443</v>
      </c>
      <c r="F92" s="17">
        <v>114.34444444444443</v>
      </c>
      <c r="G92" s="17">
        <v>95.02555555555557</v>
      </c>
      <c r="H92" s="17">
        <v>59.733333333333327</v>
      </c>
      <c r="I92" s="17">
        <v>22.625</v>
      </c>
      <c r="J92" s="17">
        <v>24.444444444444443</v>
      </c>
      <c r="K92" s="17">
        <v>12.222222222222221</v>
      </c>
      <c r="L92" s="17">
        <v>12.222222222222221</v>
      </c>
      <c r="M92" s="17">
        <v>11.111111111111109</v>
      </c>
      <c r="N92" s="17">
        <v>6.9444444444444446</v>
      </c>
      <c r="O92" s="18" t="s">
        <v>26</v>
      </c>
      <c r="P92" s="298" t="s">
        <v>1031</v>
      </c>
    </row>
    <row r="93" spans="1:16" x14ac:dyDescent="0.3">
      <c r="A93" s="12" t="s">
        <v>114</v>
      </c>
      <c r="B93" s="22" t="s">
        <v>224</v>
      </c>
      <c r="C93" s="17">
        <v>60.355555555555547</v>
      </c>
      <c r="D93" s="17">
        <v>75.433333333333323</v>
      </c>
      <c r="E93" s="17">
        <v>67.899999999999991</v>
      </c>
      <c r="F93" s="17">
        <v>67.899999999999991</v>
      </c>
      <c r="G93" s="17">
        <v>52.803333333333335</v>
      </c>
      <c r="H93" s="17">
        <v>30.177777777777774</v>
      </c>
      <c r="I93" s="17">
        <v>22.625</v>
      </c>
      <c r="J93" s="17">
        <v>24.444444444444443</v>
      </c>
      <c r="K93" s="17">
        <v>12.222222222222221</v>
      </c>
      <c r="L93" s="17">
        <v>12.222222222222221</v>
      </c>
      <c r="M93" s="17">
        <v>11.111111111111109</v>
      </c>
      <c r="N93" s="17">
        <v>11.111111111111109</v>
      </c>
      <c r="O93" s="18" t="s">
        <v>26</v>
      </c>
      <c r="P93" s="298" t="s">
        <v>1031</v>
      </c>
    </row>
    <row r="94" spans="1:16" x14ac:dyDescent="0.3">
      <c r="A94" s="12" t="s">
        <v>313</v>
      </c>
      <c r="B94" s="22" t="s">
        <v>224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8" t="s">
        <v>26</v>
      </c>
      <c r="P94" s="298" t="s">
        <v>1031</v>
      </c>
    </row>
    <row r="95" spans="1:16" x14ac:dyDescent="0.3">
      <c r="A95" s="12" t="s">
        <v>142</v>
      </c>
      <c r="B95" s="22" t="s">
        <v>224</v>
      </c>
      <c r="C95" s="17">
        <v>40</v>
      </c>
      <c r="D95" s="17">
        <v>48.888888888888886</v>
      </c>
      <c r="E95" s="17">
        <v>46.444444444444443</v>
      </c>
      <c r="F95" s="17">
        <v>46.444444444444443</v>
      </c>
      <c r="G95" s="17">
        <v>42.222222222222221</v>
      </c>
      <c r="H95" s="17">
        <v>29.555555555555557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 t="s">
        <v>26</v>
      </c>
      <c r="P95" s="298" t="s">
        <v>1031</v>
      </c>
    </row>
    <row r="96" spans="1:16" x14ac:dyDescent="0.3">
      <c r="A96" s="12" t="s">
        <v>1040</v>
      </c>
      <c r="B96" s="22" t="s">
        <v>224</v>
      </c>
      <c r="C96" s="17">
        <v>505.74999999999994</v>
      </c>
      <c r="D96" s="17">
        <v>487.36800000000005</v>
      </c>
      <c r="E96" s="17">
        <v>504.64799999999997</v>
      </c>
      <c r="F96" s="17">
        <v>484.9</v>
      </c>
      <c r="G96" s="17">
        <v>453.87900000000008</v>
      </c>
      <c r="H96" s="17">
        <v>452.73599999999999</v>
      </c>
      <c r="I96" s="17">
        <v>516.5100000000001</v>
      </c>
      <c r="J96" s="17">
        <v>527.68000000000006</v>
      </c>
      <c r="K96" s="17">
        <v>520.80000000000007</v>
      </c>
      <c r="L96" s="17">
        <v>600.29999999999995</v>
      </c>
      <c r="M96" s="17">
        <v>599.41666666666652</v>
      </c>
      <c r="N96" s="17">
        <v>690.95555555555552</v>
      </c>
      <c r="O96" s="18" t="s">
        <v>26</v>
      </c>
      <c r="P96" s="298" t="s">
        <v>1031</v>
      </c>
    </row>
    <row r="97" spans="1:16" x14ac:dyDescent="0.3">
      <c r="A97" s="12" t="s">
        <v>1041</v>
      </c>
      <c r="B97" s="22" t="s">
        <v>224</v>
      </c>
      <c r="C97" s="17">
        <v>2619.9149777558086</v>
      </c>
      <c r="D97" s="17">
        <v>2475.7688153510289</v>
      </c>
      <c r="E97" s="17">
        <v>2515.0204427970921</v>
      </c>
      <c r="F97" s="17">
        <v>2416.5445338099489</v>
      </c>
      <c r="G97" s="17">
        <v>2223.6733755031628</v>
      </c>
      <c r="H97" s="17">
        <v>2164.6691663451647</v>
      </c>
      <c r="I97" s="17">
        <v>2389.1761848754145</v>
      </c>
      <c r="J97" s="17">
        <v>2429.793814432991</v>
      </c>
      <c r="K97" s="17">
        <v>2389.1129032258054</v>
      </c>
      <c r="L97" s="17">
        <v>2544.347826086956</v>
      </c>
      <c r="M97" s="17">
        <v>2445.9930179032081</v>
      </c>
      <c r="N97" s="17">
        <v>2502.0081251834345</v>
      </c>
      <c r="O97" s="18" t="s">
        <v>26</v>
      </c>
      <c r="P97" s="298" t="s">
        <v>1031</v>
      </c>
    </row>
    <row r="98" spans="1:16" x14ac:dyDescent="0.3">
      <c r="A98" s="12" t="s">
        <v>1042</v>
      </c>
      <c r="B98" s="22" t="s">
        <v>224</v>
      </c>
      <c r="C98" s="17">
        <v>2511.4666666666662</v>
      </c>
      <c r="D98" s="17">
        <v>2119.8611111111109</v>
      </c>
      <c r="E98" s="17">
        <v>2263.4722222222217</v>
      </c>
      <c r="F98" s="17">
        <v>2172.7777777777778</v>
      </c>
      <c r="G98" s="17">
        <v>2116.9361111111107</v>
      </c>
      <c r="H98" s="17">
        <v>2101.8055555555557</v>
      </c>
      <c r="I98" s="17">
        <v>2231.6666666666665</v>
      </c>
      <c r="J98" s="17">
        <v>2134.0611111111111</v>
      </c>
      <c r="K98" s="17">
        <v>2154.166666666667</v>
      </c>
      <c r="L98" s="17">
        <v>2112.2666666666664</v>
      </c>
      <c r="M98" s="17">
        <v>2213.333333333333</v>
      </c>
      <c r="N98" s="17">
        <v>2165.333333333333</v>
      </c>
      <c r="O98" s="18" t="s">
        <v>26</v>
      </c>
      <c r="P98" s="298" t="s">
        <v>1031</v>
      </c>
    </row>
    <row r="99" spans="1:16" ht="15.6" x14ac:dyDescent="0.3">
      <c r="A99" s="23" t="s">
        <v>1043</v>
      </c>
      <c r="B99" s="195" t="s">
        <v>224</v>
      </c>
      <c r="C99" s="185">
        <v>6198.9178551153018</v>
      </c>
      <c r="D99" s="185">
        <v>5646.1257088452357</v>
      </c>
      <c r="E99" s="185">
        <v>5853.0568864416791</v>
      </c>
      <c r="F99" s="185">
        <v>5619.1503785640462</v>
      </c>
      <c r="G99" s="185">
        <v>5330.8983601016225</v>
      </c>
      <c r="H99" s="185">
        <v>5210.8890649578962</v>
      </c>
      <c r="I99" s="185">
        <v>5669.3456589024954</v>
      </c>
      <c r="J99" s="185">
        <v>5600.1174152099347</v>
      </c>
      <c r="K99" s="185">
        <v>5547.0435933566432</v>
      </c>
      <c r="L99" s="185">
        <v>5780.9161582475808</v>
      </c>
      <c r="M99" s="185">
        <v>5736.3541290143194</v>
      </c>
      <c r="N99" s="185">
        <v>5841.4984029612133</v>
      </c>
      <c r="O99" s="105"/>
      <c r="P99" s="96"/>
    </row>
    <row r="100" spans="1:16" ht="15.6" x14ac:dyDescent="0.3">
      <c r="A100" s="24" t="s">
        <v>102</v>
      </c>
      <c r="B100" s="25" t="s">
        <v>103</v>
      </c>
      <c r="C100" s="289">
        <f t="shared" ref="C100:N100" si="4">IFERROR((C88+C89+C90+C91+C93+C94+C95+C974+C96+C97+C98)/C99,"")</f>
        <v>0.99851075361987096</v>
      </c>
      <c r="D100" s="289">
        <f t="shared" si="4"/>
        <v>0.99999999999999989</v>
      </c>
      <c r="E100" s="289">
        <f t="shared" si="4"/>
        <v>0.99999999999999989</v>
      </c>
      <c r="F100" s="289">
        <f t="shared" si="4"/>
        <v>1</v>
      </c>
      <c r="G100" s="289">
        <f t="shared" si="4"/>
        <v>1</v>
      </c>
      <c r="H100" s="289">
        <f t="shared" si="4"/>
        <v>1.0000000000000002</v>
      </c>
      <c r="I100" s="289">
        <f t="shared" si="4"/>
        <v>1</v>
      </c>
      <c r="J100" s="289">
        <f t="shared" si="4"/>
        <v>1.0000000000000002</v>
      </c>
      <c r="K100" s="289">
        <f t="shared" si="4"/>
        <v>1.0000000000000002</v>
      </c>
      <c r="L100" s="289">
        <f t="shared" si="4"/>
        <v>1</v>
      </c>
      <c r="M100" s="289">
        <f t="shared" si="4"/>
        <v>0.99999999999999989</v>
      </c>
      <c r="N100" s="289">
        <f t="shared" si="4"/>
        <v>1.0007132873073377</v>
      </c>
      <c r="O100" s="105"/>
      <c r="P100" s="96"/>
    </row>
    <row r="101" spans="1:16" ht="15.6" x14ac:dyDescent="0.3">
      <c r="A101" s="133"/>
      <c r="B101" s="96"/>
      <c r="C101" s="163">
        <f>IFERROR((C87+C91+C92+C96+C97+C98)/C99,"")</f>
        <v>1</v>
      </c>
      <c r="D101" s="163">
        <f t="shared" ref="D101:N101" si="5">IFERROR((D87+D91+D92+D96+D97+D98)/D99,"")</f>
        <v>0.99999999999999989</v>
      </c>
      <c r="E101" s="163">
        <f t="shared" si="5"/>
        <v>0.99999999999999989</v>
      </c>
      <c r="F101" s="163">
        <f t="shared" si="5"/>
        <v>1</v>
      </c>
      <c r="G101" s="163">
        <f t="shared" si="5"/>
        <v>1</v>
      </c>
      <c r="H101" s="163">
        <f t="shared" si="5"/>
        <v>1.0000000000000002</v>
      </c>
      <c r="I101" s="163">
        <f t="shared" si="5"/>
        <v>1</v>
      </c>
      <c r="J101" s="163">
        <f t="shared" si="5"/>
        <v>1.0000000000000002</v>
      </c>
      <c r="K101" s="163">
        <f t="shared" si="5"/>
        <v>1.0000000000000002</v>
      </c>
      <c r="L101" s="163">
        <f t="shared" si="5"/>
        <v>1</v>
      </c>
      <c r="M101" s="163">
        <f t="shared" si="5"/>
        <v>0.99999999999999989</v>
      </c>
      <c r="N101" s="163">
        <f t="shared" si="5"/>
        <v>0.99999999999999967</v>
      </c>
      <c r="O101" s="105"/>
      <c r="P101" s="96"/>
    </row>
    <row r="102" spans="1:16" ht="15.6" x14ac:dyDescent="0.3">
      <c r="A102" s="8" t="s">
        <v>1044</v>
      </c>
      <c r="B102" s="107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18"/>
      <c r="P102" s="96"/>
    </row>
    <row r="103" spans="1:16" ht="15.6" x14ac:dyDescent="0.3">
      <c r="A103" s="11"/>
      <c r="B103" s="134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18"/>
      <c r="P103" s="96"/>
    </row>
    <row r="104" spans="1:16" x14ac:dyDescent="0.3">
      <c r="A104" s="12" t="s">
        <v>1045</v>
      </c>
      <c r="B104" s="22" t="s">
        <v>224</v>
      </c>
      <c r="C104" s="17">
        <v>-0.39493379310342769</v>
      </c>
      <c r="D104" s="17">
        <v>10.628140703517603</v>
      </c>
      <c r="E104" s="17">
        <v>10.575000000000001</v>
      </c>
      <c r="F104" s="17">
        <v>8.4179104477611801</v>
      </c>
      <c r="G104" s="17">
        <v>8.3762376237623695</v>
      </c>
      <c r="H104" s="17">
        <v>7.9900000000000055</v>
      </c>
      <c r="I104" s="17">
        <v>2.3500000000000112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8" t="s">
        <v>26</v>
      </c>
      <c r="P104" s="298" t="s">
        <v>1031</v>
      </c>
    </row>
    <row r="105" spans="1:16" x14ac:dyDescent="0.3">
      <c r="A105" s="12" t="s">
        <v>1036</v>
      </c>
      <c r="B105" s="22" t="s">
        <v>224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8" t="s">
        <v>26</v>
      </c>
      <c r="P105" s="298" t="s">
        <v>1031</v>
      </c>
    </row>
    <row r="106" spans="1:16" x14ac:dyDescent="0.3">
      <c r="A106" s="12" t="s">
        <v>138</v>
      </c>
      <c r="B106" s="22" t="s">
        <v>224</v>
      </c>
      <c r="C106" s="17">
        <v>8.8367821833444022</v>
      </c>
      <c r="D106" s="17">
        <v>10.628140703517586</v>
      </c>
      <c r="E106" s="17">
        <v>10.574999999999999</v>
      </c>
      <c r="F106" s="17">
        <v>8.4179104477611943</v>
      </c>
      <c r="G106" s="17">
        <v>8.3762376237623766</v>
      </c>
      <c r="H106" s="17">
        <v>7.9899999999999984</v>
      </c>
      <c r="I106" s="17">
        <v>2.3499999999999996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8" t="s">
        <v>26</v>
      </c>
      <c r="P106" s="298" t="s">
        <v>1031</v>
      </c>
    </row>
    <row r="107" spans="1:16" x14ac:dyDescent="0.3">
      <c r="A107" s="12" t="s">
        <v>1037</v>
      </c>
      <c r="B107" s="22" t="s">
        <v>224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8" t="s">
        <v>26</v>
      </c>
      <c r="P107" s="298" t="s">
        <v>1031</v>
      </c>
    </row>
    <row r="108" spans="1:16" x14ac:dyDescent="0.3">
      <c r="A108" s="12" t="s">
        <v>1046</v>
      </c>
      <c r="B108" s="22" t="s">
        <v>224</v>
      </c>
      <c r="C108" s="17">
        <v>137.31769488347175</v>
      </c>
      <c r="D108" s="17">
        <v>130.24370512336012</v>
      </c>
      <c r="E108" s="17">
        <v>133.77728131959188</v>
      </c>
      <c r="F108" s="17">
        <v>128.20314125124753</v>
      </c>
      <c r="G108" s="17">
        <v>127.52249999999997</v>
      </c>
      <c r="H108" s="17">
        <v>119.38882535978217</v>
      </c>
      <c r="I108" s="17">
        <v>140.4811601362419</v>
      </c>
      <c r="J108" s="17">
        <v>134.74969453418089</v>
      </c>
      <c r="K108" s="17">
        <v>134.47547976001627</v>
      </c>
      <c r="L108" s="17">
        <v>134.5329625720602</v>
      </c>
      <c r="M108" s="17">
        <v>130.7777777777778</v>
      </c>
      <c r="N108" s="17">
        <v>140.27777777777777</v>
      </c>
      <c r="O108" s="18" t="s">
        <v>26</v>
      </c>
      <c r="P108" s="298" t="s">
        <v>1031</v>
      </c>
    </row>
    <row r="109" spans="1:16" x14ac:dyDescent="0.3">
      <c r="A109" s="12" t="s">
        <v>1047</v>
      </c>
      <c r="B109" s="22" t="s">
        <v>224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8" t="s">
        <v>26</v>
      </c>
      <c r="P109" s="298" t="s">
        <v>1031</v>
      </c>
    </row>
    <row r="110" spans="1:16" x14ac:dyDescent="0.3">
      <c r="A110" s="12" t="s">
        <v>114</v>
      </c>
      <c r="B110" s="22" t="s">
        <v>224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8" t="s">
        <v>26</v>
      </c>
      <c r="P110" s="298" t="s">
        <v>1031</v>
      </c>
    </row>
    <row r="111" spans="1:16" x14ac:dyDescent="0.3">
      <c r="A111" s="12" t="s">
        <v>313</v>
      </c>
      <c r="B111" s="22" t="s">
        <v>224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8" t="s">
        <v>26</v>
      </c>
      <c r="P111" s="298" t="s">
        <v>1031</v>
      </c>
    </row>
    <row r="112" spans="1:16" x14ac:dyDescent="0.3">
      <c r="A112" s="12" t="s">
        <v>142</v>
      </c>
      <c r="B112" s="22" t="s">
        <v>224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8" t="s">
        <v>26</v>
      </c>
      <c r="P112" s="298" t="s">
        <v>1031</v>
      </c>
    </row>
    <row r="113" spans="1:16" x14ac:dyDescent="0.3">
      <c r="A113" s="12" t="s">
        <v>1048</v>
      </c>
      <c r="B113" s="22" t="s">
        <v>224</v>
      </c>
      <c r="C113" s="17">
        <v>1538.9739111330798</v>
      </c>
      <c r="D113" s="17">
        <v>1393.1200735378604</v>
      </c>
      <c r="E113" s="17">
        <v>1438.0351127584629</v>
      </c>
      <c r="F113" s="17">
        <v>1422.3443550789398</v>
      </c>
      <c r="G113" s="17">
        <v>1246.3266244968372</v>
      </c>
      <c r="H113" s="17">
        <v>1132.2752780992794</v>
      </c>
      <c r="I113" s="17">
        <v>1237.7682595690296</v>
      </c>
      <c r="J113" s="17">
        <v>1270.2061855670092</v>
      </c>
      <c r="K113" s="17">
        <v>1360.8870967741946</v>
      </c>
      <c r="L113" s="17">
        <v>1255.6521739130433</v>
      </c>
      <c r="M113" s="17">
        <v>1192.8958709856804</v>
      </c>
      <c r="N113" s="17">
        <v>1220.2140970387875</v>
      </c>
      <c r="O113" s="18" t="s">
        <v>26</v>
      </c>
      <c r="P113" s="298" t="s">
        <v>1031</v>
      </c>
    </row>
    <row r="114" spans="1:16" x14ac:dyDescent="0.3">
      <c r="A114" s="12" t="s">
        <v>1049</v>
      </c>
      <c r="B114" s="22" t="s">
        <v>224</v>
      </c>
      <c r="C114" s="17">
        <v>457.47777777777776</v>
      </c>
      <c r="D114" s="17">
        <v>433.31555555555553</v>
      </c>
      <c r="E114" s="17">
        <v>438.78916666666663</v>
      </c>
      <c r="F114" s="17">
        <v>433.79444444444448</v>
      </c>
      <c r="G114" s="17">
        <v>388.64</v>
      </c>
      <c r="H114" s="17">
        <v>375.85166666666663</v>
      </c>
      <c r="I114" s="17">
        <v>417.09861111111104</v>
      </c>
      <c r="J114" s="17">
        <v>421.80000000000007</v>
      </c>
      <c r="K114" s="17">
        <v>431.25000000000006</v>
      </c>
      <c r="L114" s="17">
        <v>433.2</v>
      </c>
      <c r="M114" s="17">
        <v>411.1944444444444</v>
      </c>
      <c r="N114" s="17">
        <v>420.61111111111109</v>
      </c>
      <c r="O114" s="18" t="s">
        <v>26</v>
      </c>
      <c r="P114" s="298" t="s">
        <v>1031</v>
      </c>
    </row>
    <row r="115" spans="1:16" x14ac:dyDescent="0.3">
      <c r="A115" s="12" t="s">
        <v>1042</v>
      </c>
      <c r="B115" s="22" t="s">
        <v>224</v>
      </c>
      <c r="C115" s="17">
        <v>1255.250544662309</v>
      </c>
      <c r="D115" s="17">
        <v>1187.122222222222</v>
      </c>
      <c r="E115" s="17">
        <v>1267.5444444444447</v>
      </c>
      <c r="F115" s="17">
        <v>1216.7555555555555</v>
      </c>
      <c r="G115" s="17">
        <v>1322.5340136054422</v>
      </c>
      <c r="H115" s="17">
        <v>1261.0833333333333</v>
      </c>
      <c r="I115" s="17">
        <v>1338.9999999999998</v>
      </c>
      <c r="J115" s="17">
        <v>1642.3286052009453</v>
      </c>
      <c r="K115" s="17">
        <v>1657.8014184397159</v>
      </c>
      <c r="L115" s="17">
        <v>1558.5300925925931</v>
      </c>
      <c r="M115" s="17">
        <v>1633.101851851852</v>
      </c>
      <c r="N115" s="17">
        <v>1533.7777777777776</v>
      </c>
      <c r="O115" s="18" t="s">
        <v>26</v>
      </c>
      <c r="P115" s="298" t="s">
        <v>1031</v>
      </c>
    </row>
    <row r="116" spans="1:16" x14ac:dyDescent="0.3">
      <c r="A116" s="23" t="s">
        <v>1050</v>
      </c>
      <c r="B116" s="195" t="s">
        <v>224</v>
      </c>
      <c r="C116" s="185">
        <v>3388.6249946635348</v>
      </c>
      <c r="D116" s="185">
        <v>3154.4296971425156</v>
      </c>
      <c r="E116" s="185">
        <v>3288.7210051891661</v>
      </c>
      <c r="F116" s="185">
        <v>3209.5154067779476</v>
      </c>
      <c r="G116" s="185">
        <v>3093.3993757260419</v>
      </c>
      <c r="H116" s="185">
        <v>2896.5891034590613</v>
      </c>
      <c r="I116" s="185">
        <v>3136.6980308163825</v>
      </c>
      <c r="J116" s="185">
        <v>3469.0844853021363</v>
      </c>
      <c r="K116" s="185">
        <v>3584.4139949739265</v>
      </c>
      <c r="L116" s="185">
        <v>3381.9152290776965</v>
      </c>
      <c r="M116" s="185">
        <v>3367.9699450597545</v>
      </c>
      <c r="N116" s="185">
        <v>3314.8807637054542</v>
      </c>
      <c r="O116" s="105"/>
      <c r="P116" s="131"/>
    </row>
    <row r="117" spans="1:16" x14ac:dyDescent="0.3">
      <c r="A117" s="24" t="s">
        <v>102</v>
      </c>
      <c r="B117" s="25" t="s">
        <v>103</v>
      </c>
      <c r="C117" s="163">
        <f>IFERROR((C105+C106+C107+C108+C110+C111+C112+C113+C114+C115)/C116,"")</f>
        <v>1.0027243250554387</v>
      </c>
      <c r="D117" s="163">
        <f t="shared" ref="D117:N117" si="6">IFERROR((D105+D106+D107+D108+D110+D111+D112+D113+D114+D115)/D116,"")</f>
        <v>1</v>
      </c>
      <c r="E117" s="163">
        <f t="shared" si="6"/>
        <v>1</v>
      </c>
      <c r="F117" s="163">
        <f t="shared" si="6"/>
        <v>1.0000000000000002</v>
      </c>
      <c r="G117" s="163">
        <f t="shared" si="6"/>
        <v>0.99999999999999989</v>
      </c>
      <c r="H117" s="163">
        <f t="shared" si="6"/>
        <v>1</v>
      </c>
      <c r="I117" s="163">
        <f t="shared" si="6"/>
        <v>0.99999999999999989</v>
      </c>
      <c r="J117" s="163">
        <f t="shared" si="6"/>
        <v>0.99999999999999978</v>
      </c>
      <c r="K117" s="163">
        <f t="shared" si="6"/>
        <v>1</v>
      </c>
      <c r="L117" s="163">
        <f t="shared" si="6"/>
        <v>1</v>
      </c>
      <c r="M117" s="163">
        <f t="shared" si="6"/>
        <v>1</v>
      </c>
      <c r="N117" s="163">
        <f t="shared" si="6"/>
        <v>1</v>
      </c>
      <c r="O117" s="11"/>
      <c r="P117" s="11"/>
    </row>
    <row r="118" spans="1:16" x14ac:dyDescent="0.3">
      <c r="A118" s="11"/>
      <c r="B118" s="11"/>
      <c r="C118" s="163">
        <f>IFERROR((C104+C108+C109+C113+C114+C115)/C116,"")</f>
        <v>1</v>
      </c>
      <c r="D118" s="163">
        <f t="shared" ref="D118:N118" si="7">IFERROR((D104+D108+D109+D113+D114+D115)/D116,"")</f>
        <v>1</v>
      </c>
      <c r="E118" s="163">
        <f t="shared" si="7"/>
        <v>1</v>
      </c>
      <c r="F118" s="163">
        <f t="shared" si="7"/>
        <v>1.0000000000000002</v>
      </c>
      <c r="G118" s="163">
        <f t="shared" si="7"/>
        <v>0.99999999999999989</v>
      </c>
      <c r="H118" s="163">
        <f t="shared" si="7"/>
        <v>1</v>
      </c>
      <c r="I118" s="163">
        <f t="shared" si="7"/>
        <v>0.99999999999999989</v>
      </c>
      <c r="J118" s="163">
        <f t="shared" si="7"/>
        <v>0.99999999999999978</v>
      </c>
      <c r="K118" s="163">
        <f t="shared" si="7"/>
        <v>1</v>
      </c>
      <c r="L118" s="163">
        <f t="shared" si="7"/>
        <v>1</v>
      </c>
      <c r="M118" s="163">
        <f t="shared" si="7"/>
        <v>1</v>
      </c>
      <c r="N118" s="163">
        <f t="shared" si="7"/>
        <v>1</v>
      </c>
      <c r="O118" s="11"/>
      <c r="P118" s="11"/>
    </row>
    <row r="119" spans="1:16" ht="15.6" x14ac:dyDescent="0.3">
      <c r="A119" s="8" t="s">
        <v>1051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3">
      <c r="A121" s="12" t="s">
        <v>1052</v>
      </c>
      <c r="B121" s="22" t="s">
        <v>224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8" t="s">
        <v>26</v>
      </c>
      <c r="P121" s="298" t="s">
        <v>1031</v>
      </c>
    </row>
    <row r="122" spans="1:16" x14ac:dyDescent="0.3">
      <c r="A122" s="12" t="s">
        <v>1036</v>
      </c>
      <c r="B122" s="22" t="s">
        <v>224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8" t="s">
        <v>26</v>
      </c>
      <c r="P122" s="298" t="s">
        <v>1031</v>
      </c>
    </row>
    <row r="123" spans="1:16" x14ac:dyDescent="0.3">
      <c r="A123" s="12" t="s">
        <v>138</v>
      </c>
      <c r="B123" s="22" t="s">
        <v>224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8" t="s">
        <v>26</v>
      </c>
      <c r="P123" s="298" t="s">
        <v>1031</v>
      </c>
    </row>
    <row r="124" spans="1:16" x14ac:dyDescent="0.3">
      <c r="A124" s="12" t="s">
        <v>1037</v>
      </c>
      <c r="B124" s="22" t="s">
        <v>224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8" t="s">
        <v>26</v>
      </c>
      <c r="P124" s="298" t="s">
        <v>1031</v>
      </c>
    </row>
    <row r="125" spans="1:16" x14ac:dyDescent="0.3">
      <c r="A125" s="12" t="s">
        <v>1053</v>
      </c>
      <c r="B125" s="22" t="s">
        <v>224</v>
      </c>
      <c r="C125" s="17">
        <v>137.31769488347175</v>
      </c>
      <c r="D125" s="17">
        <v>130.24370512336012</v>
      </c>
      <c r="E125" s="17">
        <v>133.77728131959188</v>
      </c>
      <c r="F125" s="17">
        <v>128.20314125124753</v>
      </c>
      <c r="G125" s="17">
        <v>127.52249999999997</v>
      </c>
      <c r="H125" s="17">
        <v>119.38882535978217</v>
      </c>
      <c r="I125" s="17">
        <v>140.4811601362419</v>
      </c>
      <c r="J125" s="17">
        <v>134.74969453418089</v>
      </c>
      <c r="K125" s="17">
        <v>134.47547976001627</v>
      </c>
      <c r="L125" s="17">
        <v>134.5329625720602</v>
      </c>
      <c r="M125" s="17">
        <v>130.7777777777778</v>
      </c>
      <c r="N125" s="17">
        <v>139.57638888888889</v>
      </c>
      <c r="O125" s="18" t="s">
        <v>26</v>
      </c>
      <c r="P125" s="298" t="s">
        <v>1031</v>
      </c>
    </row>
    <row r="126" spans="1:16" x14ac:dyDescent="0.3">
      <c r="A126" s="12" t="s">
        <v>1054</v>
      </c>
      <c r="B126" s="22" t="s">
        <v>224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8" t="s">
        <v>26</v>
      </c>
      <c r="P126" s="298" t="s">
        <v>1031</v>
      </c>
    </row>
    <row r="127" spans="1:16" x14ac:dyDescent="0.3">
      <c r="A127" s="12" t="s">
        <v>114</v>
      </c>
      <c r="B127" s="22" t="s">
        <v>224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8" t="s">
        <v>26</v>
      </c>
      <c r="P127" s="298" t="s">
        <v>1031</v>
      </c>
    </row>
    <row r="128" spans="1:16" x14ac:dyDescent="0.3">
      <c r="A128" s="12" t="s">
        <v>313</v>
      </c>
      <c r="B128" s="22" t="s">
        <v>224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8" t="s">
        <v>26</v>
      </c>
      <c r="P128" s="298" t="s">
        <v>1031</v>
      </c>
    </row>
    <row r="129" spans="1:16" x14ac:dyDescent="0.3">
      <c r="A129" s="12" t="s">
        <v>142</v>
      </c>
      <c r="B129" s="22" t="s">
        <v>224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8" t="s">
        <v>26</v>
      </c>
      <c r="P129" s="298" t="s">
        <v>1031</v>
      </c>
    </row>
    <row r="130" spans="1:16" x14ac:dyDescent="0.3">
      <c r="A130" s="12" t="s">
        <v>1055</v>
      </c>
      <c r="B130" s="22" t="s">
        <v>224</v>
      </c>
      <c r="C130" s="17">
        <v>141.60999999999999</v>
      </c>
      <c r="D130" s="17">
        <v>137.31400000000002</v>
      </c>
      <c r="E130" s="17">
        <v>140.83199999999999</v>
      </c>
      <c r="F130" s="17">
        <v>132.41499999999996</v>
      </c>
      <c r="G130" s="17">
        <v>126.94700000000002</v>
      </c>
      <c r="H130" s="17">
        <v>127.872</v>
      </c>
      <c r="I130" s="17">
        <v>137.73600000000002</v>
      </c>
      <c r="J130" s="17">
        <v>141.62</v>
      </c>
      <c r="K130" s="17">
        <v>133.92000000000002</v>
      </c>
      <c r="L130" s="17">
        <v>146.97</v>
      </c>
      <c r="M130" s="17">
        <v>139.86388888888888</v>
      </c>
      <c r="N130" s="17">
        <v>153.79333333333332</v>
      </c>
      <c r="O130" s="18" t="s">
        <v>26</v>
      </c>
      <c r="P130" s="298" t="s">
        <v>1031</v>
      </c>
    </row>
    <row r="131" spans="1:16" x14ac:dyDescent="0.3">
      <c r="A131" s="12" t="s">
        <v>1056</v>
      </c>
      <c r="B131" s="22" t="s">
        <v>224</v>
      </c>
      <c r="C131" s="17">
        <v>1157.7272331154684</v>
      </c>
      <c r="D131" s="17">
        <v>932.73888888888882</v>
      </c>
      <c r="E131" s="17">
        <v>995.92777777777826</v>
      </c>
      <c r="F131" s="17">
        <v>956.02222222222235</v>
      </c>
      <c r="G131" s="17">
        <v>880.80765306122441</v>
      </c>
      <c r="H131" s="17">
        <v>840.72222222222229</v>
      </c>
      <c r="I131" s="17">
        <v>892.66666666666663</v>
      </c>
      <c r="J131" s="17">
        <v>764.16583924349891</v>
      </c>
      <c r="K131" s="17">
        <v>771.36524822695048</v>
      </c>
      <c r="L131" s="17">
        <v>729.75879629629537</v>
      </c>
      <c r="M131" s="17">
        <v>764.67592592592587</v>
      </c>
      <c r="N131" s="17">
        <v>811.99999999999989</v>
      </c>
      <c r="O131" s="18" t="s">
        <v>26</v>
      </c>
      <c r="P131" s="298" t="s">
        <v>1031</v>
      </c>
    </row>
    <row r="132" spans="1:16" x14ac:dyDescent="0.3">
      <c r="A132" s="23" t="s">
        <v>1057</v>
      </c>
      <c r="B132" s="195" t="s">
        <v>224</v>
      </c>
      <c r="C132" s="185">
        <v>1436.6549279989404</v>
      </c>
      <c r="D132" s="185">
        <v>1200.2965940122488</v>
      </c>
      <c r="E132" s="185">
        <v>1270.53705909737</v>
      </c>
      <c r="F132" s="185">
        <v>1216.64036347347</v>
      </c>
      <c r="G132" s="185">
        <v>1135.2771530612245</v>
      </c>
      <c r="H132" s="185">
        <v>1087.9830475820045</v>
      </c>
      <c r="I132" s="185">
        <v>1170.8838268029085</v>
      </c>
      <c r="J132" s="185">
        <v>1040.5355337776798</v>
      </c>
      <c r="K132" s="185">
        <v>1039.7607279869667</v>
      </c>
      <c r="L132" s="185">
        <v>1011.2617588683556</v>
      </c>
      <c r="M132" s="185">
        <v>1035.3175925925925</v>
      </c>
      <c r="N132" s="185">
        <v>1105.3697222222222</v>
      </c>
      <c r="O132" s="18" t="s">
        <v>26</v>
      </c>
      <c r="P132" s="298" t="s">
        <v>1031</v>
      </c>
    </row>
    <row r="133" spans="1:16" x14ac:dyDescent="0.3">
      <c r="A133" s="24" t="s">
        <v>102</v>
      </c>
      <c r="B133" s="25" t="s">
        <v>103</v>
      </c>
      <c r="C133" s="163">
        <f>IFERROR((C122+C123+C124+C125+C127+C128+C129+C130+C131)/C132,"")</f>
        <v>0.99999999999999989</v>
      </c>
      <c r="D133" s="163">
        <f t="shared" ref="D133:N133" si="8">IFERROR((D122+D123+D124+D125+D127+D128+D129+D130+D131)/D132,"")</f>
        <v>1.0000000000000002</v>
      </c>
      <c r="E133" s="163">
        <f t="shared" si="8"/>
        <v>1.0000000000000002</v>
      </c>
      <c r="F133" s="163">
        <f t="shared" si="8"/>
        <v>0.99999999999999978</v>
      </c>
      <c r="G133" s="163">
        <f t="shared" si="8"/>
        <v>1</v>
      </c>
      <c r="H133" s="163">
        <f t="shared" si="8"/>
        <v>1</v>
      </c>
      <c r="I133" s="163">
        <f t="shared" si="8"/>
        <v>1</v>
      </c>
      <c r="J133" s="163">
        <f t="shared" si="8"/>
        <v>1</v>
      </c>
      <c r="K133" s="163">
        <f t="shared" si="8"/>
        <v>1</v>
      </c>
      <c r="L133" s="163">
        <f t="shared" si="8"/>
        <v>1</v>
      </c>
      <c r="M133" s="163">
        <f t="shared" si="8"/>
        <v>1</v>
      </c>
      <c r="N133" s="163">
        <f t="shared" si="8"/>
        <v>1</v>
      </c>
      <c r="O133" s="11"/>
      <c r="P133" s="11"/>
    </row>
    <row r="134" spans="1:16" x14ac:dyDescent="0.3">
      <c r="A134" s="11"/>
      <c r="B134" s="11"/>
      <c r="C134" s="163">
        <f>IFERROR((C121+C125+C126+C130+C131)/C132,"")</f>
        <v>0.99999999999999989</v>
      </c>
      <c r="D134" s="163">
        <f t="shared" ref="D134:N134" si="9">IFERROR((D121+D125+D126+D130+D131)/D132,"")</f>
        <v>1.0000000000000002</v>
      </c>
      <c r="E134" s="163">
        <f t="shared" si="9"/>
        <v>1.0000000000000002</v>
      </c>
      <c r="F134" s="163">
        <f t="shared" si="9"/>
        <v>0.99999999999999978</v>
      </c>
      <c r="G134" s="163">
        <f t="shared" si="9"/>
        <v>1</v>
      </c>
      <c r="H134" s="163">
        <f t="shared" si="9"/>
        <v>1</v>
      </c>
      <c r="I134" s="163">
        <f t="shared" si="9"/>
        <v>1</v>
      </c>
      <c r="J134" s="163">
        <f t="shared" si="9"/>
        <v>1</v>
      </c>
      <c r="K134" s="163">
        <f t="shared" si="9"/>
        <v>1</v>
      </c>
      <c r="L134" s="163">
        <f t="shared" si="9"/>
        <v>1</v>
      </c>
      <c r="M134" s="163">
        <f t="shared" si="9"/>
        <v>1</v>
      </c>
      <c r="N134" s="163">
        <f t="shared" si="9"/>
        <v>1</v>
      </c>
      <c r="O134" s="11"/>
      <c r="P134" s="11"/>
    </row>
    <row r="135" spans="1:16" ht="15.6" x14ac:dyDescent="0.3">
      <c r="A135" s="8" t="s">
        <v>1058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3">
      <c r="A137" s="23" t="s">
        <v>1059</v>
      </c>
      <c r="B137" s="204" t="s">
        <v>224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3">
      <c r="A138" s="23" t="s">
        <v>1060</v>
      </c>
      <c r="B138" s="204" t="s">
        <v>224</v>
      </c>
      <c r="C138" s="17">
        <v>918.16222222222211</v>
      </c>
      <c r="D138" s="17">
        <v>876.00244444444456</v>
      </c>
      <c r="E138" s="17">
        <v>871.73083333333352</v>
      </c>
      <c r="F138" s="17">
        <v>813.89055555555535</v>
      </c>
      <c r="G138" s="17">
        <v>769.53400000000022</v>
      </c>
      <c r="H138" s="17">
        <v>771.54033333333336</v>
      </c>
      <c r="I138" s="17">
        <v>841.65538888888909</v>
      </c>
      <c r="J138" s="17">
        <v>848.90000000000009</v>
      </c>
      <c r="K138" s="17">
        <v>774.02999999999975</v>
      </c>
      <c r="L138" s="17">
        <v>889.53000000000009</v>
      </c>
      <c r="M138" s="17">
        <v>847.58055555555541</v>
      </c>
      <c r="N138" s="17">
        <v>963.5288888888889</v>
      </c>
      <c r="O138" s="18" t="s">
        <v>26</v>
      </c>
      <c r="P138" s="298" t="s">
        <v>1031</v>
      </c>
    </row>
    <row r="139" spans="1:16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8" x14ac:dyDescent="0.3">
      <c r="A141" s="180" t="s">
        <v>1061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</row>
    <row r="142" spans="1:16" x14ac:dyDescent="0.3">
      <c r="A142" s="11"/>
      <c r="B142" s="11"/>
      <c r="C142" s="290">
        <v>2010</v>
      </c>
      <c r="D142" s="290">
        <v>2011</v>
      </c>
      <c r="E142" s="290">
        <v>2012</v>
      </c>
      <c r="F142" s="290">
        <v>2013</v>
      </c>
      <c r="G142" s="290">
        <v>2014</v>
      </c>
      <c r="H142" s="290">
        <v>2015</v>
      </c>
      <c r="I142" s="290">
        <v>2016</v>
      </c>
      <c r="J142" s="290">
        <v>2017</v>
      </c>
      <c r="K142" s="290">
        <v>2018</v>
      </c>
      <c r="L142" s="290">
        <v>2019</v>
      </c>
      <c r="M142" s="290">
        <v>2020</v>
      </c>
      <c r="N142" s="290">
        <v>2021</v>
      </c>
      <c r="O142" s="11"/>
      <c r="P142" s="11"/>
    </row>
    <row r="143" spans="1:16" x14ac:dyDescent="0.3">
      <c r="A143" s="12" t="s">
        <v>1062</v>
      </c>
      <c r="B143" s="202">
        <v>1</v>
      </c>
      <c r="C143" s="163">
        <f>C155</f>
        <v>0.99998846310295642</v>
      </c>
      <c r="D143" s="163">
        <f t="shared" ref="D143:N143" si="10">D155</f>
        <v>1.0000082744510796</v>
      </c>
      <c r="E143" s="163">
        <f t="shared" si="10"/>
        <v>1.0006015173459657</v>
      </c>
      <c r="F143" s="163">
        <f t="shared" si="10"/>
        <v>1.0000000000000002</v>
      </c>
      <c r="G143" s="163">
        <f t="shared" si="10"/>
        <v>1</v>
      </c>
      <c r="H143" s="163">
        <f t="shared" si="10"/>
        <v>1</v>
      </c>
      <c r="I143" s="163">
        <f t="shared" si="10"/>
        <v>1.0003620709499177</v>
      </c>
      <c r="J143" s="163">
        <f t="shared" si="10"/>
        <v>1.0002257285028537</v>
      </c>
      <c r="K143" s="163">
        <f t="shared" si="10"/>
        <v>1.0000000000000002</v>
      </c>
      <c r="L143" s="163">
        <f t="shared" si="10"/>
        <v>1.0000000000000002</v>
      </c>
      <c r="M143" s="163">
        <f t="shared" si="10"/>
        <v>0.99999999999999989</v>
      </c>
      <c r="N143" s="163">
        <f t="shared" si="10"/>
        <v>0.99999999999999967</v>
      </c>
      <c r="O143" s="11"/>
      <c r="P143" s="11"/>
    </row>
    <row r="144" spans="1:16" x14ac:dyDescent="0.3">
      <c r="A144" s="12" t="s">
        <v>1063</v>
      </c>
      <c r="B144" s="202">
        <v>1</v>
      </c>
      <c r="C144" s="163">
        <f>C164</f>
        <v>1</v>
      </c>
      <c r="D144" s="163">
        <f t="shared" ref="D144:N144" si="11">D164</f>
        <v>1.0000000000000002</v>
      </c>
      <c r="E144" s="163">
        <f t="shared" si="11"/>
        <v>1.0000000000000002</v>
      </c>
      <c r="F144" s="163">
        <f t="shared" si="11"/>
        <v>1</v>
      </c>
      <c r="G144" s="163">
        <f t="shared" si="11"/>
        <v>1.0000000000000002</v>
      </c>
      <c r="H144" s="163">
        <f t="shared" si="11"/>
        <v>1</v>
      </c>
      <c r="I144" s="163">
        <f t="shared" si="11"/>
        <v>1</v>
      </c>
      <c r="J144" s="163">
        <f t="shared" si="11"/>
        <v>1.0000000000000002</v>
      </c>
      <c r="K144" s="163">
        <f t="shared" si="11"/>
        <v>0.99999999999999989</v>
      </c>
      <c r="L144" s="163">
        <f t="shared" si="11"/>
        <v>1</v>
      </c>
      <c r="M144" s="163">
        <f t="shared" si="11"/>
        <v>0.99999999999999989</v>
      </c>
      <c r="N144" s="163">
        <f t="shared" si="11"/>
        <v>1</v>
      </c>
      <c r="O144" s="11"/>
      <c r="P144" s="11"/>
    </row>
    <row r="145" spans="1:16" x14ac:dyDescent="0.3">
      <c r="A145" s="1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</row>
    <row r="146" spans="1:16" ht="15.6" x14ac:dyDescent="0.3">
      <c r="A146" s="8" t="s">
        <v>887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1:16" x14ac:dyDescent="0.3">
      <c r="A147" s="11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6" x14ac:dyDescent="0.3">
      <c r="A148" s="23" t="s">
        <v>148</v>
      </c>
      <c r="B148" s="204" t="s">
        <v>226</v>
      </c>
      <c r="C148" s="15">
        <f>'Macroeconomy (GWh)'!C108/1000</f>
        <v>11.942222222222222</v>
      </c>
      <c r="D148" s="15">
        <f>'Macroeconomy (GWh)'!D108/1000</f>
        <v>10.876944444444444</v>
      </c>
      <c r="E148" s="15">
        <f>'Macroeconomy (GWh)'!E108/1000</f>
        <v>11.290833333333333</v>
      </c>
      <c r="F148" s="15">
        <f>'Macroeconomy (GWh)'!F108/1000</f>
        <v>10.859196704371021</v>
      </c>
      <c r="G148" s="15">
        <f>'Macroeconomy (GWh)'!G108/1000</f>
        <v>10.329108888888889</v>
      </c>
      <c r="H148" s="15">
        <f>'Macroeconomy (GWh)'!H108/1000</f>
        <v>9.967001549332295</v>
      </c>
      <c r="I148" s="15">
        <f>'Macroeconomy (GWh)'!I108/1000</f>
        <v>10.8225</v>
      </c>
      <c r="J148" s="15">
        <f>'Macroeconomy (GWh)'!J108/1000</f>
        <v>10.961111111111112</v>
      </c>
      <c r="K148" s="15">
        <f>'Macroeconomy (GWh)'!K108/1000</f>
        <v>10.945248316317539</v>
      </c>
      <c r="L148" s="15">
        <f>'Macroeconomy (GWh)'!L108/1000</f>
        <v>11.063623146193635</v>
      </c>
      <c r="M148" s="15">
        <f>'Macroeconomy (GWh)'!M108/1000</f>
        <v>10.987222222222222</v>
      </c>
      <c r="N148" s="15">
        <f>'Macroeconomy (GWh)'!N108/1000</f>
        <v>11.225277777777777</v>
      </c>
      <c r="O148" s="202"/>
      <c r="P148" s="202"/>
    </row>
    <row r="149" spans="1:16" x14ac:dyDescent="0.3">
      <c r="A149" s="12" t="s">
        <v>1064</v>
      </c>
      <c r="B149" s="22" t="s">
        <v>226</v>
      </c>
      <c r="C149" s="15">
        <f>C99/1000</f>
        <v>6.1989178551153019</v>
      </c>
      <c r="D149" s="15">
        <f t="shared" ref="D149:N149" si="12">D99/1000</f>
        <v>5.6461257088452355</v>
      </c>
      <c r="E149" s="15">
        <f t="shared" si="12"/>
        <v>5.8530568864416788</v>
      </c>
      <c r="F149" s="15">
        <f t="shared" si="12"/>
        <v>5.6191503785640462</v>
      </c>
      <c r="G149" s="15">
        <f t="shared" si="12"/>
        <v>5.3308983601016227</v>
      </c>
      <c r="H149" s="15">
        <f t="shared" si="12"/>
        <v>5.2108890649578958</v>
      </c>
      <c r="I149" s="15">
        <f t="shared" si="12"/>
        <v>5.6693456589024951</v>
      </c>
      <c r="J149" s="15">
        <f t="shared" si="12"/>
        <v>5.6001174152099349</v>
      </c>
      <c r="K149" s="15">
        <f t="shared" si="12"/>
        <v>5.5470435933566433</v>
      </c>
      <c r="L149" s="15">
        <f t="shared" si="12"/>
        <v>5.7809161582475808</v>
      </c>
      <c r="M149" s="15">
        <f t="shared" si="12"/>
        <v>5.7363541290143196</v>
      </c>
      <c r="N149" s="15">
        <f t="shared" si="12"/>
        <v>5.8414984029612134</v>
      </c>
      <c r="O149" s="202"/>
      <c r="P149" s="202"/>
    </row>
    <row r="150" spans="1:16" x14ac:dyDescent="0.3">
      <c r="A150" s="12" t="s">
        <v>1065</v>
      </c>
      <c r="B150" s="22" t="s">
        <v>226</v>
      </c>
      <c r="C150" s="15">
        <f>C116/1000</f>
        <v>3.3886249946635347</v>
      </c>
      <c r="D150" s="15">
        <f t="shared" ref="D150:N150" si="13">D116/1000</f>
        <v>3.1544296971425156</v>
      </c>
      <c r="E150" s="15">
        <f t="shared" si="13"/>
        <v>3.2887210051891662</v>
      </c>
      <c r="F150" s="15">
        <f t="shared" si="13"/>
        <v>3.2095154067779474</v>
      </c>
      <c r="G150" s="15">
        <f t="shared" si="13"/>
        <v>3.0933993757260421</v>
      </c>
      <c r="H150" s="15">
        <f t="shared" si="13"/>
        <v>2.8965891034590614</v>
      </c>
      <c r="I150" s="15">
        <f t="shared" si="13"/>
        <v>3.1366980308163823</v>
      </c>
      <c r="J150" s="15">
        <f t="shared" si="13"/>
        <v>3.4690844853021363</v>
      </c>
      <c r="K150" s="15">
        <f t="shared" si="13"/>
        <v>3.5844139949739264</v>
      </c>
      <c r="L150" s="15">
        <f t="shared" si="13"/>
        <v>3.3819152290776966</v>
      </c>
      <c r="M150" s="15">
        <f t="shared" si="13"/>
        <v>3.3679699450597544</v>
      </c>
      <c r="N150" s="15">
        <f t="shared" si="13"/>
        <v>3.314880763705454</v>
      </c>
      <c r="O150" s="202"/>
      <c r="P150" s="202"/>
    </row>
    <row r="151" spans="1:16" x14ac:dyDescent="0.3">
      <c r="A151" s="12" t="s">
        <v>1066</v>
      </c>
      <c r="B151" s="22" t="s">
        <v>226</v>
      </c>
      <c r="C151" s="15">
        <f>C132/1000</f>
        <v>1.4366549279989405</v>
      </c>
      <c r="D151" s="15">
        <f t="shared" ref="D151:N151" si="14">D132/1000</f>
        <v>1.2002965940122488</v>
      </c>
      <c r="E151" s="15">
        <f t="shared" si="14"/>
        <v>1.2705370590973701</v>
      </c>
      <c r="F151" s="15">
        <f t="shared" si="14"/>
        <v>1.2166403634734699</v>
      </c>
      <c r="G151" s="15">
        <f t="shared" si="14"/>
        <v>1.1352771530612245</v>
      </c>
      <c r="H151" s="15">
        <f t="shared" si="14"/>
        <v>1.0879830475820045</v>
      </c>
      <c r="I151" s="15">
        <f t="shared" si="14"/>
        <v>1.1708838268029085</v>
      </c>
      <c r="J151" s="15">
        <f t="shared" si="14"/>
        <v>1.0405355337776798</v>
      </c>
      <c r="K151" s="15">
        <f t="shared" si="14"/>
        <v>1.0397607279869667</v>
      </c>
      <c r="L151" s="15">
        <f t="shared" si="14"/>
        <v>1.0112617588683557</v>
      </c>
      <c r="M151" s="15">
        <f t="shared" si="14"/>
        <v>1.0353175925925926</v>
      </c>
      <c r="N151" s="15">
        <f t="shared" si="14"/>
        <v>1.1053697222222223</v>
      </c>
      <c r="O151" s="202"/>
      <c r="P151" s="202"/>
    </row>
    <row r="152" spans="1:16" x14ac:dyDescent="0.3">
      <c r="A152" s="12" t="s">
        <v>1067</v>
      </c>
      <c r="B152" s="22" t="s">
        <v>226</v>
      </c>
      <c r="C152" s="15">
        <f>C138/1000</f>
        <v>0.9181622222222221</v>
      </c>
      <c r="D152" s="15">
        <f t="shared" ref="D152:N152" si="15">D138/1000</f>
        <v>0.87600244444444453</v>
      </c>
      <c r="E152" s="15">
        <f t="shared" si="15"/>
        <v>0.87173083333333357</v>
      </c>
      <c r="F152" s="15">
        <f t="shared" si="15"/>
        <v>0.81389055555555534</v>
      </c>
      <c r="G152" s="15">
        <f t="shared" si="15"/>
        <v>0.76953400000000027</v>
      </c>
      <c r="H152" s="15">
        <f t="shared" si="15"/>
        <v>0.77154033333333338</v>
      </c>
      <c r="I152" s="15">
        <f t="shared" si="15"/>
        <v>0.84165538888888913</v>
      </c>
      <c r="J152" s="15">
        <f t="shared" si="15"/>
        <v>0.8489000000000001</v>
      </c>
      <c r="K152" s="15">
        <f t="shared" si="15"/>
        <v>0.77402999999999977</v>
      </c>
      <c r="L152" s="15">
        <f t="shared" si="15"/>
        <v>0.88953000000000004</v>
      </c>
      <c r="M152" s="15">
        <f t="shared" si="15"/>
        <v>0.84758055555555545</v>
      </c>
      <c r="N152" s="15">
        <f t="shared" si="15"/>
        <v>0.96352888888888888</v>
      </c>
      <c r="O152" s="202"/>
      <c r="P152" s="202"/>
    </row>
    <row r="153" spans="1:16" x14ac:dyDescent="0.3">
      <c r="A153" s="12" t="s">
        <v>1068</v>
      </c>
      <c r="B153" s="22" t="s">
        <v>226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202"/>
      <c r="P153" s="202"/>
    </row>
    <row r="154" spans="1:16" x14ac:dyDescent="0.3">
      <c r="A154" s="47" t="s">
        <v>1069</v>
      </c>
      <c r="B154" s="195" t="s">
        <v>226</v>
      </c>
      <c r="C154" s="15">
        <f>SUM(C149:C153)</f>
        <v>11.942359999999999</v>
      </c>
      <c r="D154" s="15">
        <f t="shared" ref="D154:N154" si="16">SUM(D149:D153)</f>
        <v>10.876854444444444</v>
      </c>
      <c r="E154" s="15">
        <f t="shared" si="16"/>
        <v>11.284045784061549</v>
      </c>
      <c r="F154" s="15">
        <f t="shared" si="16"/>
        <v>10.859196704371019</v>
      </c>
      <c r="G154" s="15">
        <f t="shared" si="16"/>
        <v>10.329108888888889</v>
      </c>
      <c r="H154" s="15">
        <f t="shared" si="16"/>
        <v>9.967001549332295</v>
      </c>
      <c r="I154" s="15">
        <f t="shared" si="16"/>
        <v>10.818582905410674</v>
      </c>
      <c r="J154" s="15">
        <f t="shared" si="16"/>
        <v>10.958637434289752</v>
      </c>
      <c r="K154" s="15">
        <f t="shared" si="16"/>
        <v>10.945248316317535</v>
      </c>
      <c r="L154" s="15">
        <f t="shared" si="16"/>
        <v>11.063623146193633</v>
      </c>
      <c r="M154" s="15">
        <f t="shared" si="16"/>
        <v>10.987222222222224</v>
      </c>
      <c r="N154" s="15">
        <f t="shared" si="16"/>
        <v>11.22527777777778</v>
      </c>
      <c r="O154" s="202"/>
      <c r="P154" s="202"/>
    </row>
    <row r="155" spans="1:16" x14ac:dyDescent="0.3">
      <c r="A155" s="24" t="s">
        <v>1070</v>
      </c>
      <c r="B155" s="22" t="s">
        <v>103</v>
      </c>
      <c r="C155" s="163">
        <f>C148/C154</f>
        <v>0.99998846310295642</v>
      </c>
      <c r="D155" s="163">
        <f t="shared" ref="D155:N155" si="17">D148/D154</f>
        <v>1.0000082744510796</v>
      </c>
      <c r="E155" s="163">
        <f t="shared" si="17"/>
        <v>1.0006015173459657</v>
      </c>
      <c r="F155" s="163">
        <f t="shared" si="17"/>
        <v>1.0000000000000002</v>
      </c>
      <c r="G155" s="163">
        <f t="shared" si="17"/>
        <v>1</v>
      </c>
      <c r="H155" s="163">
        <f t="shared" si="17"/>
        <v>1</v>
      </c>
      <c r="I155" s="163">
        <f t="shared" si="17"/>
        <v>1.0003620709499177</v>
      </c>
      <c r="J155" s="163">
        <f t="shared" si="17"/>
        <v>1.0002257285028537</v>
      </c>
      <c r="K155" s="163">
        <f t="shared" si="17"/>
        <v>1.0000000000000002</v>
      </c>
      <c r="L155" s="163">
        <f t="shared" si="17"/>
        <v>1.0000000000000002</v>
      </c>
      <c r="M155" s="163">
        <f t="shared" si="17"/>
        <v>0.99999999999999989</v>
      </c>
      <c r="N155" s="163">
        <f t="shared" si="17"/>
        <v>0.99999999999999967</v>
      </c>
      <c r="O155" s="202"/>
      <c r="P155" s="202"/>
    </row>
    <row r="156" spans="1:16" x14ac:dyDescent="0.3">
      <c r="A156" s="24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02"/>
      <c r="P156" s="202"/>
    </row>
    <row r="157" spans="1:16" x14ac:dyDescent="0.3">
      <c r="A157" s="23" t="s">
        <v>1071</v>
      </c>
      <c r="B157" s="204" t="s">
        <v>226</v>
      </c>
      <c r="C157" s="15">
        <f>'Macroeconomy (GWh)'!C103/1000</f>
        <v>2.0229999999999997</v>
      </c>
      <c r="D157" s="15">
        <f>'Macroeconomy (GWh)'!D103/1000</f>
        <v>1.9339999999999999</v>
      </c>
      <c r="E157" s="15">
        <f>'Macroeconomy (GWh)'!E103/1000</f>
        <v>1.956</v>
      </c>
      <c r="F157" s="15">
        <f>'Macroeconomy (GWh)'!F103/1000</f>
        <v>1.8649999999999998</v>
      </c>
      <c r="G157" s="15">
        <f>'Macroeconomy (GWh)'!G103/1000</f>
        <v>1.7390000000000001</v>
      </c>
      <c r="H157" s="15">
        <f>'Macroeconomy (GWh)'!H103/1000</f>
        <v>1.728</v>
      </c>
      <c r="I157" s="15">
        <f>'Macroeconomy (GWh)'!I103/1000</f>
        <v>1.9130000000000003</v>
      </c>
      <c r="J157" s="15">
        <f>'Macroeconomy (GWh)'!J103/1000</f>
        <v>1.9400000000000002</v>
      </c>
      <c r="K157" s="15">
        <f>'Macroeconomy (GWh)'!K103/1000</f>
        <v>1.86</v>
      </c>
      <c r="L157" s="15">
        <f>'Macroeconomy (GWh)'!L103/1000</f>
        <v>2.0699999999999998</v>
      </c>
      <c r="M157" s="15">
        <f>'Macroeconomy (GWh)'!M103/1000</f>
        <v>1.9980555555555555</v>
      </c>
      <c r="N157" s="15">
        <f>'Macroeconomy (GWh)'!N103/1000</f>
        <v>2.2288888888888887</v>
      </c>
      <c r="O157" s="202"/>
      <c r="P157" s="202"/>
    </row>
    <row r="158" spans="1:16" x14ac:dyDescent="0.3">
      <c r="A158" s="12" t="s">
        <v>1072</v>
      </c>
      <c r="B158" s="22" t="s">
        <v>226</v>
      </c>
      <c r="C158" s="15">
        <f>C96/1000</f>
        <v>0.50574999999999992</v>
      </c>
      <c r="D158" s="15">
        <f t="shared" ref="D158:N158" si="18">D96/1000</f>
        <v>0.48736800000000008</v>
      </c>
      <c r="E158" s="15">
        <f t="shared" si="18"/>
        <v>0.50464799999999999</v>
      </c>
      <c r="F158" s="15">
        <f t="shared" si="18"/>
        <v>0.4849</v>
      </c>
      <c r="G158" s="15">
        <f t="shared" si="18"/>
        <v>0.45387900000000009</v>
      </c>
      <c r="H158" s="15">
        <f t="shared" si="18"/>
        <v>0.45273599999999997</v>
      </c>
      <c r="I158" s="15">
        <f t="shared" si="18"/>
        <v>0.51651000000000014</v>
      </c>
      <c r="J158" s="15">
        <f t="shared" si="18"/>
        <v>0.52768000000000004</v>
      </c>
      <c r="K158" s="15">
        <f t="shared" si="18"/>
        <v>0.52080000000000004</v>
      </c>
      <c r="L158" s="15">
        <f t="shared" si="18"/>
        <v>0.60029999999999994</v>
      </c>
      <c r="M158" s="15">
        <f t="shared" si="18"/>
        <v>0.59941666666666649</v>
      </c>
      <c r="N158" s="15">
        <f t="shared" si="18"/>
        <v>0.69095555555555555</v>
      </c>
      <c r="O158" s="202"/>
      <c r="P158" s="202"/>
    </row>
    <row r="159" spans="1:16" x14ac:dyDescent="0.3">
      <c r="A159" s="12" t="s">
        <v>1073</v>
      </c>
      <c r="B159" s="22" t="s">
        <v>226</v>
      </c>
      <c r="C159" s="15">
        <f>C114/1000</f>
        <v>0.45747777777777776</v>
      </c>
      <c r="D159" s="15">
        <f t="shared" ref="D159:N159" si="19">D114/1000</f>
        <v>0.43331555555555551</v>
      </c>
      <c r="E159" s="15">
        <f t="shared" si="19"/>
        <v>0.43878916666666662</v>
      </c>
      <c r="F159" s="15">
        <f t="shared" si="19"/>
        <v>0.43379444444444448</v>
      </c>
      <c r="G159" s="15">
        <f t="shared" si="19"/>
        <v>0.38863999999999999</v>
      </c>
      <c r="H159" s="15">
        <f t="shared" si="19"/>
        <v>0.37585166666666664</v>
      </c>
      <c r="I159" s="15">
        <f t="shared" si="19"/>
        <v>0.41709861111111102</v>
      </c>
      <c r="J159" s="15">
        <f t="shared" si="19"/>
        <v>0.42180000000000006</v>
      </c>
      <c r="K159" s="15">
        <f t="shared" si="19"/>
        <v>0.43125000000000008</v>
      </c>
      <c r="L159" s="15">
        <f t="shared" si="19"/>
        <v>0.43319999999999997</v>
      </c>
      <c r="M159" s="15">
        <f t="shared" si="19"/>
        <v>0.41119444444444442</v>
      </c>
      <c r="N159" s="15">
        <f t="shared" si="19"/>
        <v>0.4206111111111111</v>
      </c>
      <c r="O159" s="202"/>
      <c r="P159" s="202"/>
    </row>
    <row r="160" spans="1:16" x14ac:dyDescent="0.3">
      <c r="A160" s="12" t="s">
        <v>1074</v>
      </c>
      <c r="B160" s="22" t="s">
        <v>226</v>
      </c>
      <c r="C160" s="15">
        <f>C130/1000</f>
        <v>0.14160999999999999</v>
      </c>
      <c r="D160" s="15">
        <f t="shared" ref="D160:N160" si="20">D130/1000</f>
        <v>0.13731400000000002</v>
      </c>
      <c r="E160" s="15">
        <f t="shared" si="20"/>
        <v>0.14083199999999998</v>
      </c>
      <c r="F160" s="15">
        <f t="shared" si="20"/>
        <v>0.13241499999999998</v>
      </c>
      <c r="G160" s="15">
        <f t="shared" si="20"/>
        <v>0.126947</v>
      </c>
      <c r="H160" s="15">
        <f t="shared" si="20"/>
        <v>0.12787200000000001</v>
      </c>
      <c r="I160" s="15">
        <f t="shared" si="20"/>
        <v>0.13773600000000003</v>
      </c>
      <c r="J160" s="15">
        <f t="shared" si="20"/>
        <v>0.14162</v>
      </c>
      <c r="K160" s="15">
        <f t="shared" si="20"/>
        <v>0.13392000000000001</v>
      </c>
      <c r="L160" s="15">
        <f t="shared" si="20"/>
        <v>0.14696999999999999</v>
      </c>
      <c r="M160" s="15">
        <f t="shared" si="20"/>
        <v>0.13986388888888887</v>
      </c>
      <c r="N160" s="15">
        <f t="shared" si="20"/>
        <v>0.15379333333333331</v>
      </c>
      <c r="O160" s="202"/>
      <c r="P160" s="202"/>
    </row>
    <row r="161" spans="1:16" x14ac:dyDescent="0.3">
      <c r="A161" s="12" t="s">
        <v>1075</v>
      </c>
      <c r="B161" s="22" t="s">
        <v>226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202"/>
      <c r="P161" s="202"/>
    </row>
    <row r="162" spans="1:16" x14ac:dyDescent="0.3">
      <c r="A162" s="12" t="s">
        <v>1076</v>
      </c>
      <c r="B162" s="22" t="s">
        <v>226</v>
      </c>
      <c r="C162" s="15">
        <f>C138/1000</f>
        <v>0.9181622222222221</v>
      </c>
      <c r="D162" s="15">
        <f t="shared" ref="D162:N162" si="21">D138/1000</f>
        <v>0.87600244444444453</v>
      </c>
      <c r="E162" s="15">
        <f t="shared" si="21"/>
        <v>0.87173083333333357</v>
      </c>
      <c r="F162" s="15">
        <f t="shared" si="21"/>
        <v>0.81389055555555534</v>
      </c>
      <c r="G162" s="15">
        <f t="shared" si="21"/>
        <v>0.76953400000000027</v>
      </c>
      <c r="H162" s="15">
        <f t="shared" si="21"/>
        <v>0.77154033333333338</v>
      </c>
      <c r="I162" s="15">
        <f t="shared" si="21"/>
        <v>0.84165538888888913</v>
      </c>
      <c r="J162" s="15">
        <f t="shared" si="21"/>
        <v>0.8489000000000001</v>
      </c>
      <c r="K162" s="15">
        <f t="shared" si="21"/>
        <v>0.77402999999999977</v>
      </c>
      <c r="L162" s="15">
        <f t="shared" si="21"/>
        <v>0.88953000000000004</v>
      </c>
      <c r="M162" s="15">
        <f t="shared" si="21"/>
        <v>0.84758055555555545</v>
      </c>
      <c r="N162" s="15">
        <f t="shared" si="21"/>
        <v>0.96352888888888888</v>
      </c>
      <c r="O162" s="202"/>
      <c r="P162" s="202"/>
    </row>
    <row r="163" spans="1:16" x14ac:dyDescent="0.3">
      <c r="A163" s="228" t="s">
        <v>1077</v>
      </c>
      <c r="B163" s="22" t="s">
        <v>226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202"/>
      <c r="P163" s="202"/>
    </row>
    <row r="164" spans="1:16" x14ac:dyDescent="0.3">
      <c r="A164" s="24" t="s">
        <v>1078</v>
      </c>
      <c r="B164" s="22"/>
      <c r="C164" s="163">
        <f>(C158+C159+C160+C161+C162)/C157</f>
        <v>1</v>
      </c>
      <c r="D164" s="227">
        <f t="shared" ref="D164:N164" si="22">(D158+D159+D160+D161+D162)/D157</f>
        <v>1.0000000000000002</v>
      </c>
      <c r="E164" s="227">
        <f t="shared" si="22"/>
        <v>1.0000000000000002</v>
      </c>
      <c r="F164" s="227">
        <f t="shared" si="22"/>
        <v>1</v>
      </c>
      <c r="G164" s="227">
        <f t="shared" si="22"/>
        <v>1.0000000000000002</v>
      </c>
      <c r="H164" s="227">
        <f t="shared" si="22"/>
        <v>1</v>
      </c>
      <c r="I164" s="227">
        <f t="shared" si="22"/>
        <v>1</v>
      </c>
      <c r="J164" s="227">
        <f t="shared" si="22"/>
        <v>1.0000000000000002</v>
      </c>
      <c r="K164" s="227">
        <f t="shared" si="22"/>
        <v>0.99999999999999989</v>
      </c>
      <c r="L164" s="227">
        <f t="shared" si="22"/>
        <v>1</v>
      </c>
      <c r="M164" s="227">
        <f t="shared" si="22"/>
        <v>0.99999999999999989</v>
      </c>
      <c r="N164" s="227">
        <f t="shared" si="22"/>
        <v>1</v>
      </c>
      <c r="O164" s="202"/>
      <c r="P164" s="202"/>
    </row>
    <row r="165" spans="1:16" x14ac:dyDescent="0.3">
      <c r="A165" s="24"/>
      <c r="B165" s="2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</row>
    <row r="166" spans="1:16" x14ac:dyDescent="0.3">
      <c r="A166" s="12" t="s">
        <v>1079</v>
      </c>
      <c r="B166" s="22">
        <v>1</v>
      </c>
      <c r="C166" s="15">
        <f>'Macroeconomy (GWh)'!C167/'Macroeconomy (GWh)'!C168</f>
        <v>1.0995981604478282</v>
      </c>
      <c r="D166" s="15">
        <f>'Macroeconomy (GWh)'!D167/'Macroeconomy (GWh)'!D168</f>
        <v>0.91887610922116014</v>
      </c>
      <c r="E166" s="15">
        <f>'Macroeconomy (GWh)'!E167/'Macroeconomy (GWh)'!E168</f>
        <v>1.030387709919542</v>
      </c>
      <c r="F166" s="15">
        <f>'Macroeconomy (GWh)'!F167/'Macroeconomy (GWh)'!F168</f>
        <v>0.93469769785985546</v>
      </c>
      <c r="G166" s="15">
        <f>'Macroeconomy (GWh)'!G167/'Macroeconomy (GWh)'!G168</f>
        <v>0.93218901308565971</v>
      </c>
      <c r="H166" s="15">
        <f>'Macroeconomy (GWh)'!H167/'Macroeconomy (GWh)'!H168</f>
        <v>0.85397879655128961</v>
      </c>
      <c r="I166" s="15">
        <f>'Macroeconomy (GWh)'!I167/'Macroeconomy (GWh)'!I168</f>
        <v>0.94687663120758847</v>
      </c>
      <c r="J166" s="15">
        <f>'Macroeconomy (GWh)'!J167/'Macroeconomy (GWh)'!J168</f>
        <v>0.94712862465575876</v>
      </c>
      <c r="K166" s="15">
        <f>'Macroeconomy (GWh)'!K167/'Macroeconomy (GWh)'!K168</f>
        <v>0.9145202224742156</v>
      </c>
      <c r="L166" s="15">
        <f>'Macroeconomy (GWh)'!L167/'Macroeconomy (GWh)'!L168</f>
        <v>0.87366353474809655</v>
      </c>
      <c r="M166" s="15">
        <f>'Macroeconomy (GWh)'!M167/'Macroeconomy (GWh)'!M168</f>
        <v>0.8212286480551505</v>
      </c>
      <c r="N166" s="15">
        <f>'Macroeconomy (GWh)'!N167/'Macroeconomy (GWh)'!N168</f>
        <v>0.95960005039868956</v>
      </c>
      <c r="O166" s="202"/>
      <c r="P166" s="202"/>
    </row>
    <row r="167" spans="1:16" x14ac:dyDescent="0.3">
      <c r="A167" s="12" t="s">
        <v>1080</v>
      </c>
      <c r="B167" s="22" t="s">
        <v>103</v>
      </c>
      <c r="C167" s="15">
        <f>IFERROR(C173/(C173+(C148-C149)),"")</f>
        <v>0.49762356085801973</v>
      </c>
      <c r="D167" s="15">
        <f t="shared" ref="D167:N167" si="23">IFERROR(D173/(D173+(D148-D149)),"")</f>
        <v>0.53798067091810142</v>
      </c>
      <c r="E167" s="15">
        <f t="shared" si="23"/>
        <v>0.51165093933513328</v>
      </c>
      <c r="F167" s="15">
        <f t="shared" si="23"/>
        <v>0.53255888372246629</v>
      </c>
      <c r="G167" s="15">
        <f t="shared" si="23"/>
        <v>0.53180984103835238</v>
      </c>
      <c r="H167" s="15">
        <f t="shared" si="23"/>
        <v>0.55779412451797727</v>
      </c>
      <c r="I167" s="15">
        <f t="shared" si="23"/>
        <v>0.53605144293633789</v>
      </c>
      <c r="J167" s="15">
        <f t="shared" si="23"/>
        <v>0.52308154071842394</v>
      </c>
      <c r="K167" s="15">
        <f t="shared" si="23"/>
        <v>0.52678703236323898</v>
      </c>
      <c r="L167" s="15">
        <f t="shared" si="23"/>
        <v>0.55251226114585084</v>
      </c>
      <c r="M167" s="15">
        <f t="shared" si="23"/>
        <v>0.56558220590259289</v>
      </c>
      <c r="N167" s="15">
        <f t="shared" si="23"/>
        <v>0.5296238084993008</v>
      </c>
      <c r="O167" s="202"/>
      <c r="P167" s="202"/>
    </row>
    <row r="168" spans="1:16" x14ac:dyDescent="0.3">
      <c r="A168" s="12" t="s">
        <v>1081</v>
      </c>
      <c r="B168" s="22" t="s">
        <v>103</v>
      </c>
      <c r="C168" s="15">
        <f>C84</f>
        <v>0.25000000000000006</v>
      </c>
      <c r="D168" s="15">
        <f t="shared" ref="D168:N168" si="24">D84</f>
        <v>0.25199999999999995</v>
      </c>
      <c r="E168" s="15">
        <f t="shared" si="24"/>
        <v>0.25799999999999995</v>
      </c>
      <c r="F168" s="15">
        <f t="shared" si="24"/>
        <v>0.26</v>
      </c>
      <c r="G168" s="15">
        <f t="shared" si="24"/>
        <v>0.26100000000000001</v>
      </c>
      <c r="H168" s="15">
        <f t="shared" si="24"/>
        <v>0.26200000000000001</v>
      </c>
      <c r="I168" s="15">
        <f t="shared" si="24"/>
        <v>0.27</v>
      </c>
      <c r="J168" s="15">
        <f t="shared" si="24"/>
        <v>0.27200000000000002</v>
      </c>
      <c r="K168" s="15">
        <f t="shared" si="24"/>
        <v>0.28000000000000003</v>
      </c>
      <c r="L168" s="15">
        <f t="shared" si="24"/>
        <v>0.28999999999999998</v>
      </c>
      <c r="M168" s="15">
        <f t="shared" si="24"/>
        <v>0.3</v>
      </c>
      <c r="N168" s="15">
        <f t="shared" si="24"/>
        <v>0.31000000000000005</v>
      </c>
      <c r="O168" s="202"/>
      <c r="P168" s="202"/>
    </row>
    <row r="169" spans="1:16" x14ac:dyDescent="0.3">
      <c r="A169" s="12" t="s">
        <v>1082</v>
      </c>
      <c r="B169" s="22">
        <v>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202"/>
      <c r="P169" s="202"/>
    </row>
    <row r="170" spans="1:16" x14ac:dyDescent="0.3">
      <c r="A170" s="11"/>
      <c r="B170" s="22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02"/>
      <c r="P170" s="202"/>
    </row>
    <row r="171" spans="1:16" x14ac:dyDescent="0.3">
      <c r="A171" s="23" t="s">
        <v>1083</v>
      </c>
      <c r="B171" s="204" t="s">
        <v>226</v>
      </c>
      <c r="C171" s="15">
        <f>IFERROR(C148/(1-(C168*0.9)*(1-C166)),"")</f>
        <v>11.680467773944837</v>
      </c>
      <c r="D171" s="15">
        <f t="shared" ref="D171:N171" si="25">IFERROR(D148/(1-(D168*0.9)*(1-D166)),"")</f>
        <v>11.080819313499646</v>
      </c>
      <c r="E171" s="15">
        <f t="shared" si="25"/>
        <v>11.211723120760436</v>
      </c>
      <c r="F171" s="15">
        <f t="shared" si="25"/>
        <v>11.02770823233797</v>
      </c>
      <c r="G171" s="15">
        <f t="shared" si="25"/>
        <v>10.496302399217363</v>
      </c>
      <c r="H171" s="15">
        <f t="shared" si="25"/>
        <v>10.322421085316636</v>
      </c>
      <c r="I171" s="15">
        <f t="shared" si="25"/>
        <v>10.964034486740516</v>
      </c>
      <c r="J171" s="15">
        <f t="shared" si="25"/>
        <v>11.104840086726396</v>
      </c>
      <c r="K171" s="15">
        <f t="shared" si="25"/>
        <v>11.186209377941323</v>
      </c>
      <c r="L171" s="15">
        <f t="shared" si="25"/>
        <v>11.44087238341276</v>
      </c>
      <c r="M171" s="15">
        <f t="shared" si="25"/>
        <v>11.544452936112398</v>
      </c>
      <c r="N171" s="15">
        <f t="shared" si="25"/>
        <v>11.353246875620354</v>
      </c>
      <c r="O171" s="202"/>
      <c r="P171" s="202"/>
    </row>
    <row r="172" spans="1:16" x14ac:dyDescent="0.3">
      <c r="A172" s="23" t="s">
        <v>1084</v>
      </c>
      <c r="B172" s="232" t="s">
        <v>226</v>
      </c>
      <c r="C172" s="15">
        <f>IFERROR(C157/(1-(C84*0.9)*(1-C166)),"")</f>
        <v>1.9786590692241683</v>
      </c>
      <c r="D172" s="15">
        <f t="shared" ref="D172:N172" si="26">IFERROR(D157/(1-(D84*0.9)*(1-D166)),"")</f>
        <v>1.9702504376818943</v>
      </c>
      <c r="E172" s="15">
        <f t="shared" si="26"/>
        <v>1.9422951146984202</v>
      </c>
      <c r="F172" s="15">
        <f t="shared" si="26"/>
        <v>1.8939408147042642</v>
      </c>
      <c r="G172" s="15">
        <f t="shared" si="26"/>
        <v>1.7671485574011112</v>
      </c>
      <c r="H172" s="15">
        <f t="shared" si="26"/>
        <v>1.7896198317157967</v>
      </c>
      <c r="I172" s="15">
        <f t="shared" si="26"/>
        <v>1.9380178307354687</v>
      </c>
      <c r="J172" s="15">
        <f t="shared" si="26"/>
        <v>1.965438498877272</v>
      </c>
      <c r="K172" s="15">
        <f t="shared" si="26"/>
        <v>1.9009481413000073</v>
      </c>
      <c r="L172" s="15">
        <f t="shared" si="26"/>
        <v>2.1405831996195799</v>
      </c>
      <c r="M172" s="15">
        <f t="shared" si="26"/>
        <v>2.0993894415092398</v>
      </c>
      <c r="N172" s="15">
        <f t="shared" si="26"/>
        <v>2.2542984071163228</v>
      </c>
      <c r="O172" s="202"/>
      <c r="P172" s="202"/>
    </row>
    <row r="173" spans="1:16" x14ac:dyDescent="0.3">
      <c r="A173" s="12" t="s">
        <v>1085</v>
      </c>
      <c r="B173" s="22" t="s">
        <v>226</v>
      </c>
      <c r="C173" s="15">
        <f>IFERROR(C149/(1-(0.9*(1-C166))),"")</f>
        <v>5.688968167242094</v>
      </c>
      <c r="D173" s="15">
        <f t="shared" ref="D173:N173" si="27">IFERROR(D149/(1-(0.9*(1-D166))),"")</f>
        <v>6.0908260665644303</v>
      </c>
      <c r="E173" s="15">
        <f t="shared" si="27"/>
        <v>5.6972433266456397</v>
      </c>
      <c r="F173" s="15">
        <f t="shared" si="27"/>
        <v>5.9700208748194319</v>
      </c>
      <c r="G173" s="15">
        <f t="shared" si="27"/>
        <v>5.6773887616213585</v>
      </c>
      <c r="H173" s="15">
        <f t="shared" si="27"/>
        <v>5.9993133208346325</v>
      </c>
      <c r="I173" s="15">
        <f t="shared" si="27"/>
        <v>5.9540131727145891</v>
      </c>
      <c r="J173" s="15">
        <f t="shared" si="27"/>
        <v>5.8799083735572166</v>
      </c>
      <c r="K173" s="15">
        <f t="shared" si="27"/>
        <v>6.0093540130553276</v>
      </c>
      <c r="L173" s="15">
        <f t="shared" si="27"/>
        <v>6.5225482833449897</v>
      </c>
      <c r="M173" s="15">
        <f t="shared" si="27"/>
        <v>6.8362705197894504</v>
      </c>
      <c r="N173" s="15">
        <f t="shared" si="27"/>
        <v>6.0619091444939643</v>
      </c>
      <c r="O173" s="202"/>
      <c r="P173" s="202"/>
    </row>
    <row r="174" spans="1:16" x14ac:dyDescent="0.3">
      <c r="A174" s="12" t="s">
        <v>1086</v>
      </c>
      <c r="B174" s="22" t="s">
        <v>226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202"/>
      <c r="P174" s="202"/>
    </row>
    <row r="175" spans="1:16" x14ac:dyDescent="0.3">
      <c r="A175" s="11"/>
      <c r="B175" s="11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 x14ac:dyDescent="0.3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</row>
    <row r="177" spans="1:16" ht="17.399999999999999" x14ac:dyDescent="0.3">
      <c r="A177" s="235" t="s">
        <v>216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</row>
    <row r="178" spans="1:16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3">
      <c r="A180" s="12" t="s">
        <v>1087</v>
      </c>
      <c r="B180" s="22" t="s">
        <v>1088</v>
      </c>
      <c r="C180" s="293">
        <f t="shared" ref="C180:N180" si="28">IFERROR(C171/C12*1000,"")</f>
        <v>18.811550238267145</v>
      </c>
      <c r="D180" s="293">
        <f t="shared" si="28"/>
        <v>17.858423013968903</v>
      </c>
      <c r="E180" s="293">
        <f t="shared" si="28"/>
        <v>18.09370861883502</v>
      </c>
      <c r="F180" s="293">
        <f t="shared" si="28"/>
        <v>17.5622821893521</v>
      </c>
      <c r="G180" s="293">
        <f t="shared" si="28"/>
        <v>16.504554344612846</v>
      </c>
      <c r="H180" s="293">
        <f t="shared" si="28"/>
        <v>16.001446435345965</v>
      </c>
      <c r="I180" s="293">
        <f t="shared" si="28"/>
        <v>16.770066178750412</v>
      </c>
      <c r="J180" s="293">
        <f t="shared" si="28"/>
        <v>16.611326175334366</v>
      </c>
      <c r="K180" s="293">
        <f t="shared" si="28"/>
        <v>16.595828430328574</v>
      </c>
      <c r="L180" s="293">
        <f t="shared" si="28"/>
        <v>16.726421613176548</v>
      </c>
      <c r="M180" s="293">
        <f t="shared" si="28"/>
        <v>16.913710257288695</v>
      </c>
      <c r="N180" s="293">
        <f t="shared" si="28"/>
        <v>16.501596455308508</v>
      </c>
      <c r="O180" s="11"/>
      <c r="P180" s="11"/>
    </row>
    <row r="181" spans="1:16" x14ac:dyDescent="0.3">
      <c r="A181" s="12" t="s">
        <v>1089</v>
      </c>
      <c r="B181" s="22" t="s">
        <v>1090</v>
      </c>
      <c r="C181" s="294">
        <f t="shared" ref="C181:N181" si="29">IFERROR(C157/C12*1000*11630,"")</f>
        <v>37891.338658764405</v>
      </c>
      <c r="D181" s="294">
        <f t="shared" si="29"/>
        <v>36249.95044170542</v>
      </c>
      <c r="E181" s="294">
        <f t="shared" si="29"/>
        <v>36711.640616376142</v>
      </c>
      <c r="F181" s="294">
        <f t="shared" si="29"/>
        <v>34542.537265893741</v>
      </c>
      <c r="G181" s="294">
        <f t="shared" si="29"/>
        <v>31801.438446201362</v>
      </c>
      <c r="H181" s="294">
        <f t="shared" si="29"/>
        <v>31153.08955452935</v>
      </c>
      <c r="I181" s="294">
        <f t="shared" si="29"/>
        <v>34029.774268644484</v>
      </c>
      <c r="J181" s="294">
        <f t="shared" si="29"/>
        <v>33749.973930836946</v>
      </c>
      <c r="K181" s="294">
        <f t="shared" si="29"/>
        <v>32092.876980034725</v>
      </c>
      <c r="L181" s="294">
        <f t="shared" si="29"/>
        <v>35196.052631578939</v>
      </c>
      <c r="M181" s="294">
        <f t="shared" si="29"/>
        <v>34044.958041331935</v>
      </c>
      <c r="N181" s="294">
        <f t="shared" si="29"/>
        <v>37676.800416532016</v>
      </c>
      <c r="O181" s="202"/>
      <c r="P181" s="202"/>
    </row>
    <row r="182" spans="1:16" x14ac:dyDescent="0.3">
      <c r="A182" s="12" t="s">
        <v>1091</v>
      </c>
      <c r="B182" s="22" t="s">
        <v>1092</v>
      </c>
      <c r="C182" s="293">
        <f t="shared" ref="C182:N182" si="30">IFERROR(C173/C12*1000,"")</f>
        <v>9.1621596457548371</v>
      </c>
      <c r="D182" s="293">
        <f t="shared" si="30"/>
        <v>9.816291135502901</v>
      </c>
      <c r="E182" s="293">
        <f t="shared" si="30"/>
        <v>9.1943280771936173</v>
      </c>
      <c r="F182" s="293">
        <f t="shared" si="30"/>
        <v>9.5076138279071092</v>
      </c>
      <c r="G182" s="293">
        <f t="shared" si="30"/>
        <v>8.9272172035230906</v>
      </c>
      <c r="H182" s="293">
        <f t="shared" si="30"/>
        <v>9.2999200438303209</v>
      </c>
      <c r="I182" s="293">
        <f t="shared" si="30"/>
        <v>9.1069756353219375</v>
      </c>
      <c r="J182" s="293">
        <f t="shared" si="30"/>
        <v>8.7955409633486958</v>
      </c>
      <c r="K182" s="293">
        <f t="shared" si="30"/>
        <v>8.9154605289648874</v>
      </c>
      <c r="L182" s="293">
        <f t="shared" si="30"/>
        <v>9.5358893031359493</v>
      </c>
      <c r="M182" s="293">
        <f t="shared" si="30"/>
        <v>10.015779825345325</v>
      </c>
      <c r="N182" s="293">
        <f t="shared" si="30"/>
        <v>8.8107991966587136</v>
      </c>
      <c r="O182" s="202"/>
      <c r="P182" s="202"/>
    </row>
    <row r="183" spans="1:16" x14ac:dyDescent="0.3">
      <c r="A183" s="12" t="s">
        <v>1093</v>
      </c>
      <c r="B183" s="22" t="s">
        <v>1094</v>
      </c>
      <c r="C183" s="294">
        <f t="shared" ref="C183:N183" si="31">IFERROR(C173/(C12*C70)*1000*1000,"")</f>
        <v>149.37359801609784</v>
      </c>
      <c r="D183" s="294">
        <f t="shared" si="31"/>
        <v>159.68515267302465</v>
      </c>
      <c r="E183" s="294">
        <f t="shared" si="31"/>
        <v>149.22351367327809</v>
      </c>
      <c r="F183" s="294">
        <f t="shared" si="31"/>
        <v>154.49432899989606</v>
      </c>
      <c r="G183" s="294">
        <f t="shared" si="31"/>
        <v>143.52439233959953</v>
      </c>
      <c r="H183" s="294">
        <f t="shared" si="31"/>
        <v>149.47816691453301</v>
      </c>
      <c r="I183" s="294">
        <f t="shared" si="31"/>
        <v>146.37318387759211</v>
      </c>
      <c r="J183" s="294">
        <f t="shared" si="31"/>
        <v>141.17545702202096</v>
      </c>
      <c r="K183" s="294">
        <f t="shared" si="31"/>
        <v>144.94481406128685</v>
      </c>
      <c r="L183" s="294">
        <f t="shared" si="31"/>
        <v>151.36332227199921</v>
      </c>
      <c r="M183" s="294">
        <f t="shared" si="31"/>
        <v>157.72881614717048</v>
      </c>
      <c r="N183" s="294">
        <f t="shared" si="31"/>
        <v>138.53457856381624</v>
      </c>
      <c r="O183" s="202"/>
      <c r="P183" s="202"/>
    </row>
    <row r="184" spans="1:16" x14ac:dyDescent="0.3">
      <c r="A184" s="12" t="s">
        <v>1095</v>
      </c>
      <c r="B184" s="22" t="s">
        <v>1090</v>
      </c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11"/>
      <c r="P184" s="11"/>
    </row>
    <row r="185" spans="1:16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</sheetData>
  <phoneticPr fontId="74" type="noConversion"/>
  <conditionalFormatting sqref="O10">
    <cfRule type="expression" dxfId="393" priority="148">
      <formula>AND(COUNT(K8:XEM8)&lt;&gt;0,(O10)="")</formula>
    </cfRule>
  </conditionalFormatting>
  <conditionalFormatting sqref="O10">
    <cfRule type="expression" dxfId="392" priority="149">
      <formula>AND($AK8&lt;&gt;"",ISBLANK($E8:$AG8))</formula>
    </cfRule>
  </conditionalFormatting>
  <conditionalFormatting sqref="O30">
    <cfRule type="expression" dxfId="391" priority="147">
      <formula>AND(COUNT(K31:XEM31)&lt;&gt;0,(O30)="")</formula>
    </cfRule>
  </conditionalFormatting>
  <conditionalFormatting sqref="O30">
    <cfRule type="expression" dxfId="390" priority="150">
      <formula>AND($AK31&lt;&gt;"",ISBLANK($E31:$AG31))</formula>
    </cfRule>
  </conditionalFormatting>
  <conditionalFormatting sqref="O37:O38 O33 O35">
    <cfRule type="expression" dxfId="389" priority="145">
      <formula>AND(COUNT(K34:XEM34)&lt;&gt;0,(O33)="")</formula>
    </cfRule>
  </conditionalFormatting>
  <conditionalFormatting sqref="O37:O38 O33 O35">
    <cfRule type="expression" dxfId="388" priority="146">
      <formula>AND($AK34&lt;&gt;"",ISBLANK($E34:$AG34))</formula>
    </cfRule>
  </conditionalFormatting>
  <conditionalFormatting sqref="O43:O45">
    <cfRule type="expression" dxfId="387" priority="143">
      <formula>AND(COUNT(K44:XEM44)&lt;&gt;0,(O43)="")</formula>
    </cfRule>
  </conditionalFormatting>
  <conditionalFormatting sqref="O43:O45">
    <cfRule type="expression" dxfId="386" priority="144">
      <formula>AND($AK44&lt;&gt;"",ISBLANK($E44:$AG44))</formula>
    </cfRule>
  </conditionalFormatting>
  <conditionalFormatting sqref="O61:O62">
    <cfRule type="expression" dxfId="385" priority="142">
      <formula>AND(COUNT(K60:XEM60)&lt;&gt;0,(O61)="")</formula>
    </cfRule>
  </conditionalFormatting>
  <conditionalFormatting sqref="O61:O62">
    <cfRule type="expression" dxfId="384" priority="151">
      <formula>AND($AK60&lt;&gt;"",ISBLANK($E60:$AG60))</formula>
    </cfRule>
  </conditionalFormatting>
  <conditionalFormatting sqref="O51:O53">
    <cfRule type="expression" dxfId="383" priority="152">
      <formula>AND(COUNT(K51:XEM51)&lt;&gt;0,(O51)="")</formula>
    </cfRule>
  </conditionalFormatting>
  <conditionalFormatting sqref="O51:O52">
    <cfRule type="expression" dxfId="382" priority="153">
      <formula>AND($AK51&lt;&gt;"",ISBLANK($E51:$AG51))</formula>
    </cfRule>
  </conditionalFormatting>
  <conditionalFormatting sqref="O53">
    <cfRule type="expression" dxfId="381" priority="154">
      <formula>AND($AK53&lt;&gt;"",ISBLANK($P53:$AG53))</formula>
    </cfRule>
  </conditionalFormatting>
  <conditionalFormatting sqref="O72:O74 O78">
    <cfRule type="expression" dxfId="380" priority="141">
      <formula>AND(COUNT(K72:XEM72)&lt;&gt;0,(O72)="")</formula>
    </cfRule>
  </conditionalFormatting>
  <conditionalFormatting sqref="O72:O74 O78">
    <cfRule type="expression" dxfId="379" priority="140">
      <formula>AND($AK72&lt;&gt;"",ISBLANK($E72:$AG72))</formula>
    </cfRule>
  </conditionalFormatting>
  <conditionalFormatting sqref="O85:O86">
    <cfRule type="expression" dxfId="378" priority="139">
      <formula>AND(COUNT(K85:XEM85)&lt;&gt;0,(O85)="")</formula>
    </cfRule>
  </conditionalFormatting>
  <conditionalFormatting sqref="O85:O86">
    <cfRule type="expression" dxfId="377" priority="138">
      <formula>AND($AK85&lt;&gt;"",ISBLANK($E85:$AG85))</formula>
    </cfRule>
  </conditionalFormatting>
  <conditionalFormatting sqref="O82">
    <cfRule type="expression" dxfId="376" priority="137">
      <formula>AND(COUNT(K82:XEM82)&lt;&gt;0,(O82)="")</formula>
    </cfRule>
  </conditionalFormatting>
  <conditionalFormatting sqref="O82">
    <cfRule type="expression" dxfId="375" priority="136">
      <formula>AND($AK82&lt;&gt;"",ISBLANK($E82:$AG82))</formula>
    </cfRule>
  </conditionalFormatting>
  <conditionalFormatting sqref="O102:O103">
    <cfRule type="expression" dxfId="374" priority="135">
      <formula>AND(COUNT(K102:XEM102)&lt;&gt;0,(O102)="")</formula>
    </cfRule>
  </conditionalFormatting>
  <conditionalFormatting sqref="O102:O103">
    <cfRule type="expression" dxfId="373" priority="134">
      <formula>AND($AK102&lt;&gt;"",ISBLANK($E102:$AG102))</formula>
    </cfRule>
  </conditionalFormatting>
  <conditionalFormatting sqref="C19:N19 C71:C72">
    <cfRule type="containsBlanks" dxfId="372" priority="119">
      <formula>LEN(TRIM(C19))=0</formula>
    </cfRule>
  </conditionalFormatting>
  <conditionalFormatting sqref="C11:N17">
    <cfRule type="containsBlanks" dxfId="371" priority="121">
      <formula>LEN(TRIM(C11))=0</formula>
    </cfRule>
  </conditionalFormatting>
  <conditionalFormatting sqref="C18:N18">
    <cfRule type="containsBlanks" dxfId="370" priority="120">
      <formula>LEN(TRIM(C18))=0</formula>
    </cfRule>
  </conditionalFormatting>
  <conditionalFormatting sqref="C7">
    <cfRule type="containsBlanks" dxfId="369" priority="133">
      <formula>LEN(TRIM(C7))=0</formula>
    </cfRule>
  </conditionalFormatting>
  <conditionalFormatting sqref="D7:N7">
    <cfRule type="containsBlanks" dxfId="368" priority="132">
      <formula>LEN(TRIM(D7))=0</formula>
    </cfRule>
  </conditionalFormatting>
  <conditionalFormatting sqref="O7">
    <cfRule type="expression" dxfId="367" priority="130">
      <formula>AND(COUNT(K5:XEM5)&lt;&gt;0,(O7)="")</formula>
    </cfRule>
  </conditionalFormatting>
  <conditionalFormatting sqref="O7">
    <cfRule type="expression" dxfId="366" priority="131">
      <formula>AND($AK5&lt;&gt;"",ISBLANK($E5:$AG5))</formula>
    </cfRule>
  </conditionalFormatting>
  <conditionalFormatting sqref="P7">
    <cfRule type="expression" dxfId="365" priority="128">
      <formula>AND(COUNT(L5:XEN5)&lt;&gt;0,(P7)="")</formula>
    </cfRule>
  </conditionalFormatting>
  <conditionalFormatting sqref="P7">
    <cfRule type="expression" dxfId="364" priority="129">
      <formula>AND($AK5&lt;&gt;"",ISBLANK($E5:$AG5))</formula>
    </cfRule>
  </conditionalFormatting>
  <conditionalFormatting sqref="P11:P17">
    <cfRule type="expression" dxfId="363" priority="126">
      <formula>AND(COUNT(L9:XEN9)&lt;&gt;0,(P11)="")</formula>
    </cfRule>
  </conditionalFormatting>
  <conditionalFormatting sqref="P11:P17">
    <cfRule type="expression" dxfId="362" priority="127">
      <formula>AND($AK9&lt;&gt;"",ISBLANK($E9:$AG9))</formula>
    </cfRule>
  </conditionalFormatting>
  <conditionalFormatting sqref="O11">
    <cfRule type="expression" dxfId="361" priority="124">
      <formula>AND(COUNT(K9:XEM9)&lt;&gt;0,(O11)="")</formula>
    </cfRule>
  </conditionalFormatting>
  <conditionalFormatting sqref="O11">
    <cfRule type="expression" dxfId="360" priority="125">
      <formula>AND($AK9&lt;&gt;"",ISBLANK($E9:$AG9))</formula>
    </cfRule>
  </conditionalFormatting>
  <conditionalFormatting sqref="O12:O17">
    <cfRule type="expression" dxfId="359" priority="122">
      <formula>AND(COUNT(K10:XEM10)&lt;&gt;0,(O12)="")</formula>
    </cfRule>
  </conditionalFormatting>
  <conditionalFormatting sqref="O12:O17">
    <cfRule type="expression" dxfId="358" priority="123">
      <formula>AND($AK10&lt;&gt;"",ISBLANK($E10:$AG10))</formula>
    </cfRule>
  </conditionalFormatting>
  <conditionalFormatting sqref="O24:O26 O28:O29">
    <cfRule type="expression" dxfId="357" priority="118">
      <formula>AND(COUNT(K24:XEM24)&lt;&gt;0,(O24)="")</formula>
    </cfRule>
  </conditionalFormatting>
  <conditionalFormatting sqref="O24:O26 O28:O29">
    <cfRule type="expression" dxfId="356" priority="117">
      <formula>AND($AK24&lt;&gt;"",ISBLANK($E24:$AG24))</formula>
    </cfRule>
  </conditionalFormatting>
  <conditionalFormatting sqref="C24:I26 C28:I29">
    <cfRule type="containsBlanks" dxfId="355" priority="116">
      <formula>LEN(TRIM(C24))=0</formula>
    </cfRule>
  </conditionalFormatting>
  <conditionalFormatting sqref="J24:K26 J28:K29">
    <cfRule type="containsBlanks" dxfId="354" priority="115">
      <formula>LEN(TRIM(J24))=0</formula>
    </cfRule>
  </conditionalFormatting>
  <conditionalFormatting sqref="L24:L26 L28:L29">
    <cfRule type="containsBlanks" dxfId="353" priority="114">
      <formula>LEN(TRIM(L24))=0</formula>
    </cfRule>
  </conditionalFormatting>
  <conditionalFormatting sqref="M24:M26 M28:M29">
    <cfRule type="containsBlanks" dxfId="352" priority="113">
      <formula>LEN(TRIM(M24))=0</formula>
    </cfRule>
  </conditionalFormatting>
  <conditionalFormatting sqref="M27">
    <cfRule type="containsBlanks" dxfId="351" priority="112">
      <formula>LEN(TRIM(M27))=0</formula>
    </cfRule>
  </conditionalFormatting>
  <conditionalFormatting sqref="N24:N26 N28:N29">
    <cfRule type="containsBlanks" dxfId="350" priority="111">
      <formula>LEN(TRIM(N24))=0</formula>
    </cfRule>
  </conditionalFormatting>
  <conditionalFormatting sqref="N27">
    <cfRule type="containsBlanks" dxfId="349" priority="110">
      <formula>LEN(TRIM(N27))=0</formula>
    </cfRule>
  </conditionalFormatting>
  <conditionalFormatting sqref="C27:L27">
    <cfRule type="containsBlanks" dxfId="348" priority="109">
      <formula>LEN(TRIM(C27))=0</formula>
    </cfRule>
  </conditionalFormatting>
  <conditionalFormatting sqref="O27">
    <cfRule type="expression" dxfId="347" priority="107">
      <formula>AND(COUNT(K25:XEM25)&lt;&gt;0,(O27)="")</formula>
    </cfRule>
  </conditionalFormatting>
  <conditionalFormatting sqref="O27">
    <cfRule type="expression" dxfId="346" priority="108">
      <formula>AND($AK25&lt;&gt;"",ISBLANK($E25:$AG25))</formula>
    </cfRule>
  </conditionalFormatting>
  <conditionalFormatting sqref="P27">
    <cfRule type="expression" dxfId="345" priority="105">
      <formula>AND(COUNT(L25:XEN25)&lt;&gt;0,(P27)="")</formula>
    </cfRule>
  </conditionalFormatting>
  <conditionalFormatting sqref="P27">
    <cfRule type="expression" dxfId="344" priority="106">
      <formula>AND($AK25&lt;&gt;"",ISBLANK($E25:$AG25))</formula>
    </cfRule>
  </conditionalFormatting>
  <conditionalFormatting sqref="C32:K34 C36:K37">
    <cfRule type="containsBlanks" dxfId="343" priority="104">
      <formula>LEN(TRIM(C32))=0</formula>
    </cfRule>
  </conditionalFormatting>
  <conditionalFormatting sqref="L32:L34 L36:L37">
    <cfRule type="containsBlanks" dxfId="342" priority="103">
      <formula>LEN(TRIM(L32))=0</formula>
    </cfRule>
  </conditionalFormatting>
  <conditionalFormatting sqref="M32:M34 M36:M37">
    <cfRule type="containsBlanks" dxfId="341" priority="102">
      <formula>LEN(TRIM(M32))=0</formula>
    </cfRule>
  </conditionalFormatting>
  <conditionalFormatting sqref="M35">
    <cfRule type="containsBlanks" dxfId="340" priority="101">
      <formula>LEN(TRIM(M35))=0</formula>
    </cfRule>
  </conditionalFormatting>
  <conditionalFormatting sqref="N32:N34 N36:N37">
    <cfRule type="containsBlanks" dxfId="339" priority="100">
      <formula>LEN(TRIM(N32))=0</formula>
    </cfRule>
  </conditionalFormatting>
  <conditionalFormatting sqref="N35">
    <cfRule type="containsBlanks" dxfId="338" priority="99">
      <formula>LEN(TRIM(N35))=0</formula>
    </cfRule>
  </conditionalFormatting>
  <conditionalFormatting sqref="C40:K42 C44:K45">
    <cfRule type="containsBlanks" dxfId="337" priority="98">
      <formula>LEN(TRIM(C40))=0</formula>
    </cfRule>
  </conditionalFormatting>
  <conditionalFormatting sqref="L40:L42 L44:L45">
    <cfRule type="containsBlanks" dxfId="336" priority="97">
      <formula>LEN(TRIM(L40))=0</formula>
    </cfRule>
  </conditionalFormatting>
  <conditionalFormatting sqref="M40:M42 M44:M45">
    <cfRule type="containsBlanks" dxfId="335" priority="96">
      <formula>LEN(TRIM(M40))=0</formula>
    </cfRule>
  </conditionalFormatting>
  <conditionalFormatting sqref="M43">
    <cfRule type="containsBlanks" dxfId="334" priority="95">
      <formula>LEN(TRIM(M43))=0</formula>
    </cfRule>
  </conditionalFormatting>
  <conditionalFormatting sqref="C43:L43">
    <cfRule type="containsBlanks" dxfId="333" priority="94">
      <formula>LEN(TRIM(C43))=0</formula>
    </cfRule>
  </conditionalFormatting>
  <conditionalFormatting sqref="C50:N50">
    <cfRule type="containsBlanks" dxfId="332" priority="93">
      <formula>LEN(TRIM(C50))=0</formula>
    </cfRule>
  </conditionalFormatting>
  <conditionalFormatting sqref="C35:L35">
    <cfRule type="containsBlanks" dxfId="331" priority="92">
      <formula>LEN(TRIM(C35))=0</formula>
    </cfRule>
  </conditionalFormatting>
  <conditionalFormatting sqref="C56:N58">
    <cfRule type="containsBlanks" dxfId="330" priority="91">
      <formula>LEN(TRIM(C56))=0</formula>
    </cfRule>
  </conditionalFormatting>
  <conditionalFormatting sqref="O56">
    <cfRule type="expression" dxfId="329" priority="89">
      <formula>AND(COUNT(K57:XEM57)&lt;&gt;0,(O56)="")</formula>
    </cfRule>
  </conditionalFormatting>
  <conditionalFormatting sqref="O56">
    <cfRule type="expression" dxfId="328" priority="90">
      <formula>AND($AK57&lt;&gt;"",ISBLANK($E57:$AG57))</formula>
    </cfRule>
  </conditionalFormatting>
  <conditionalFormatting sqref="O57">
    <cfRule type="expression" dxfId="327" priority="87">
      <formula>AND(COUNT(K58:XEM58)&lt;&gt;0,(O57)="")</formula>
    </cfRule>
  </conditionalFormatting>
  <conditionalFormatting sqref="O57">
    <cfRule type="expression" dxfId="326" priority="88">
      <formula>AND($AK58&lt;&gt;"",ISBLANK($E58:$AG58))</formula>
    </cfRule>
  </conditionalFormatting>
  <conditionalFormatting sqref="O58">
    <cfRule type="expression" dxfId="325" priority="85">
      <formula>AND(COUNT(K59:XEM59)&lt;&gt;0,(O58)="")</formula>
    </cfRule>
  </conditionalFormatting>
  <conditionalFormatting sqref="O58">
    <cfRule type="expression" dxfId="324" priority="86">
      <formula>AND($AK59&lt;&gt;"",ISBLANK($E59:$AG59))</formula>
    </cfRule>
  </conditionalFormatting>
  <conditionalFormatting sqref="C59:N59">
    <cfRule type="containsBlanks" dxfId="323" priority="84">
      <formula>LEN(TRIM(C59))=0</formula>
    </cfRule>
  </conditionalFormatting>
  <conditionalFormatting sqref="P56:P58">
    <cfRule type="expression" dxfId="322" priority="82">
      <formula>AND(COUNT(L57:XEN57)&lt;&gt;0,(P56)="")</formula>
    </cfRule>
  </conditionalFormatting>
  <conditionalFormatting sqref="P56:P58">
    <cfRule type="expression" dxfId="321" priority="83">
      <formula>AND($AK57&lt;&gt;"",ISBLANK($E57:$AG57))</formula>
    </cfRule>
  </conditionalFormatting>
  <conditionalFormatting sqref="O63:O66">
    <cfRule type="expression" dxfId="320" priority="80">
      <formula>AND(COUNT(K64:XEM64)&lt;&gt;0,(O63)="")</formula>
    </cfRule>
  </conditionalFormatting>
  <conditionalFormatting sqref="O63:O66">
    <cfRule type="expression" dxfId="319" priority="81">
      <formula>AND($AK64&lt;&gt;"",ISBLANK($E64:$AG64))</formula>
    </cfRule>
  </conditionalFormatting>
  <conditionalFormatting sqref="P63:P65">
    <cfRule type="expression" dxfId="318" priority="78">
      <formula>AND(COUNT(L64:XEN64)&lt;&gt;0,(P63)="")</formula>
    </cfRule>
  </conditionalFormatting>
  <conditionalFormatting sqref="P63:P65">
    <cfRule type="expression" dxfId="317" priority="79">
      <formula>AND($AK64&lt;&gt;"",ISBLANK($E64:$AG64))</formula>
    </cfRule>
  </conditionalFormatting>
  <conditionalFormatting sqref="C70:N70">
    <cfRule type="containsBlanks" dxfId="316" priority="74">
      <formula>LEN(TRIM(C70))=0</formula>
    </cfRule>
  </conditionalFormatting>
  <conditionalFormatting sqref="C75:N77">
    <cfRule type="containsBlanks" dxfId="315" priority="73">
      <formula>LEN(TRIM(C75))=0</formula>
    </cfRule>
  </conditionalFormatting>
  <conditionalFormatting sqref="O75">
    <cfRule type="expression" dxfId="314" priority="71">
      <formula>AND(COUNT(K76:XEM76)&lt;&gt;0,(O75)="")</formula>
    </cfRule>
  </conditionalFormatting>
  <conditionalFormatting sqref="O75">
    <cfRule type="expression" dxfId="313" priority="72">
      <formula>AND($AK76&lt;&gt;"",ISBLANK($E76:$AG76))</formula>
    </cfRule>
  </conditionalFormatting>
  <conditionalFormatting sqref="O76">
    <cfRule type="expression" dxfId="312" priority="69">
      <formula>AND(COUNT(K77:XEM77)&lt;&gt;0,(O76)="")</formula>
    </cfRule>
  </conditionalFormatting>
  <conditionalFormatting sqref="O76">
    <cfRule type="expression" dxfId="311" priority="70">
      <formula>AND($AK77&lt;&gt;"",ISBLANK($E77:$AG77))</formula>
    </cfRule>
  </conditionalFormatting>
  <conditionalFormatting sqref="O77">
    <cfRule type="expression" dxfId="310" priority="67">
      <formula>AND(COUNT(K78:XEM78)&lt;&gt;0,(O77)="")</formula>
    </cfRule>
  </conditionalFormatting>
  <conditionalFormatting sqref="O77">
    <cfRule type="expression" dxfId="309" priority="68">
      <formula>AND($AK78&lt;&gt;"",ISBLANK($E78:$AG78))</formula>
    </cfRule>
  </conditionalFormatting>
  <conditionalFormatting sqref="O70">
    <cfRule type="expression" dxfId="308" priority="65">
      <formula>AND(COUNT(K71:XEM71)&lt;&gt;0,(O70)="")</formula>
    </cfRule>
  </conditionalFormatting>
  <conditionalFormatting sqref="O70">
    <cfRule type="expression" dxfId="307" priority="66">
      <formula>AND($AK71&lt;&gt;"",ISBLANK($E71:$AG71))</formula>
    </cfRule>
  </conditionalFormatting>
  <conditionalFormatting sqref="P70:P72">
    <cfRule type="expression" dxfId="306" priority="63">
      <formula>AND(COUNT(L71:XEN71)&lt;&gt;0,(P70)="")</formula>
    </cfRule>
  </conditionalFormatting>
  <conditionalFormatting sqref="P70:P72">
    <cfRule type="expression" dxfId="305" priority="64">
      <formula>AND($AK71&lt;&gt;"",ISBLANK($E71:$AG71))</formula>
    </cfRule>
  </conditionalFormatting>
  <conditionalFormatting sqref="P75:P77">
    <cfRule type="expression" dxfId="304" priority="61">
      <formula>AND(COUNT(L76:XEN76)&lt;&gt;0,(P75)="")</formula>
    </cfRule>
  </conditionalFormatting>
  <conditionalFormatting sqref="P75:P77">
    <cfRule type="expression" dxfId="303" priority="62">
      <formula>AND($AK76&lt;&gt;"",ISBLANK($E76:$AG76))</formula>
    </cfRule>
  </conditionalFormatting>
  <conditionalFormatting sqref="O83:O84">
    <cfRule type="expression" dxfId="302" priority="60">
      <formula>AND(COUNT(K83:XEM83)&lt;&gt;0,(O83)="")</formula>
    </cfRule>
  </conditionalFormatting>
  <conditionalFormatting sqref="O83:O84">
    <cfRule type="expression" dxfId="301" priority="59">
      <formula>AND($AK83&lt;&gt;"",ISBLANK($E83:$AG83))</formula>
    </cfRule>
  </conditionalFormatting>
  <conditionalFormatting sqref="C100:N100">
    <cfRule type="containsBlanks" dxfId="300" priority="58">
      <formula>LEN(TRIM(C100))=0</formula>
    </cfRule>
  </conditionalFormatting>
  <conditionalFormatting sqref="O87:O98">
    <cfRule type="expression" dxfId="299" priority="56">
      <formula>AND(COUNT(K88:XEM88)&lt;&gt;0,(O87)="")</formula>
    </cfRule>
  </conditionalFormatting>
  <conditionalFormatting sqref="O87:O98">
    <cfRule type="expression" dxfId="298" priority="57">
      <formula>AND($AK88&lt;&gt;"",ISBLANK($E88:$AG88))</formula>
    </cfRule>
  </conditionalFormatting>
  <conditionalFormatting sqref="O104:O115">
    <cfRule type="expression" dxfId="297" priority="54">
      <formula>AND(COUNT(K105:XEM105)&lt;&gt;0,(O104)="")</formula>
    </cfRule>
  </conditionalFormatting>
  <conditionalFormatting sqref="O104:O115">
    <cfRule type="expression" dxfId="296" priority="55">
      <formula>AND($AK105&lt;&gt;"",ISBLANK($E105:$AG105))</formula>
    </cfRule>
  </conditionalFormatting>
  <conditionalFormatting sqref="O121:O132">
    <cfRule type="expression" dxfId="295" priority="52">
      <formula>AND(COUNT(K122:XEM122)&lt;&gt;0,(O121)="")</formula>
    </cfRule>
  </conditionalFormatting>
  <conditionalFormatting sqref="O121:O132">
    <cfRule type="expression" dxfId="294" priority="53">
      <formula>AND($AK122&lt;&gt;"",ISBLANK($E122:$AG122))</formula>
    </cfRule>
  </conditionalFormatting>
  <conditionalFormatting sqref="C118:N118">
    <cfRule type="containsBlanks" dxfId="293" priority="49">
      <formula>LEN(TRIM(C118))=0</formula>
    </cfRule>
  </conditionalFormatting>
  <conditionalFormatting sqref="C142:N142">
    <cfRule type="containsBlanks" dxfId="292" priority="46">
      <formula>LEN(TRIM(C142))=0</formula>
    </cfRule>
  </conditionalFormatting>
  <conditionalFormatting sqref="C117:N117">
    <cfRule type="containsBlanks" dxfId="291" priority="51">
      <formula>LEN(TRIM(C117))=0</formula>
    </cfRule>
  </conditionalFormatting>
  <conditionalFormatting sqref="C101:N101">
    <cfRule type="containsBlanks" dxfId="290" priority="50">
      <formula>LEN(TRIM(C101))=0</formula>
    </cfRule>
  </conditionalFormatting>
  <conditionalFormatting sqref="O138">
    <cfRule type="expression" dxfId="289" priority="47">
      <formula>AND(COUNT(K139:XEM139)&lt;&gt;0,(O138)="")</formula>
    </cfRule>
  </conditionalFormatting>
  <conditionalFormatting sqref="O138">
    <cfRule type="expression" dxfId="288" priority="48">
      <formula>AND($AK139&lt;&gt;"",ISBLANK($E139:$AG139))</formula>
    </cfRule>
  </conditionalFormatting>
  <conditionalFormatting sqref="C133:N133">
    <cfRule type="containsBlanks" dxfId="287" priority="45">
      <formula>LEN(TRIM(C133))=0</formula>
    </cfRule>
  </conditionalFormatting>
  <conditionalFormatting sqref="C134:N134">
    <cfRule type="containsBlanks" dxfId="286" priority="44">
      <formula>LEN(TRIM(C134))=0</formula>
    </cfRule>
  </conditionalFormatting>
  <conditionalFormatting sqref="C143:N143">
    <cfRule type="containsBlanks" dxfId="285" priority="37">
      <formula>LEN(TRIM(C143))=0</formula>
    </cfRule>
  </conditionalFormatting>
  <conditionalFormatting sqref="D164:N164">
    <cfRule type="containsBlanks" dxfId="284" priority="39">
      <formula>LEN(TRIM(D164))=0</formula>
    </cfRule>
  </conditionalFormatting>
  <conditionalFormatting sqref="C83:N83">
    <cfRule type="containsBlanks" dxfId="283" priority="29">
      <formula>LEN(TRIM(C83))=0</formula>
    </cfRule>
  </conditionalFormatting>
  <conditionalFormatting sqref="D84:N84">
    <cfRule type="containsBlanks" dxfId="282" priority="26">
      <formula>LEN(TRIM(D84))=0</formula>
    </cfRule>
  </conditionalFormatting>
  <conditionalFormatting sqref="C85:N85">
    <cfRule type="containsBlanks" dxfId="281" priority="28">
      <formula>LEN(TRIM(C85))=0</formula>
    </cfRule>
  </conditionalFormatting>
  <conditionalFormatting sqref="C84">
    <cfRule type="containsBlanks" dxfId="280" priority="27">
      <formula>LEN(TRIM(C84))=0</formula>
    </cfRule>
  </conditionalFormatting>
  <conditionalFormatting sqref="C67:N67">
    <cfRule type="containsBlanks" dxfId="279" priority="25">
      <formula>LEN(TRIM(C67))=0</formula>
    </cfRule>
  </conditionalFormatting>
  <conditionalFormatting sqref="C65:N65">
    <cfRule type="containsBlanks" dxfId="278" priority="24">
      <formula>LEN(TRIM(C65))=0</formula>
    </cfRule>
  </conditionalFormatting>
  <conditionalFormatting sqref="C66:N66">
    <cfRule type="containsBlanks" dxfId="277" priority="23">
      <formula>LEN(TRIM(C66))=0</formula>
    </cfRule>
  </conditionalFormatting>
  <conditionalFormatting sqref="C63:N64">
    <cfRule type="containsBlanks" dxfId="276" priority="22">
      <formula>LEN(TRIM(C63))=0</formula>
    </cfRule>
  </conditionalFormatting>
  <conditionalFormatting sqref="P66">
    <cfRule type="expression" dxfId="275" priority="20">
      <formula>AND(COUNT(L67:XEN67)&lt;&gt;0,(P66)="")</formula>
    </cfRule>
  </conditionalFormatting>
  <conditionalFormatting sqref="P66">
    <cfRule type="expression" dxfId="274" priority="21">
      <formula>AND($AK67&lt;&gt;"",ISBLANK($E67:$AG67))</formula>
    </cfRule>
  </conditionalFormatting>
  <conditionalFormatting sqref="C144:N144">
    <cfRule type="containsBlanks" dxfId="273" priority="19">
      <formula>LEN(TRIM(C144))=0</formula>
    </cfRule>
  </conditionalFormatting>
  <conditionalFormatting sqref="C155:N155">
    <cfRule type="containsBlanks" dxfId="272" priority="18">
      <formula>LEN(TRIM(C155))=0</formula>
    </cfRule>
  </conditionalFormatting>
  <conditionalFormatting sqref="C164">
    <cfRule type="containsBlanks" dxfId="271" priority="17">
      <formula>LEN(TRIM(C164))=0</formula>
    </cfRule>
  </conditionalFormatting>
  <conditionalFormatting sqref="C87:N99">
    <cfRule type="containsBlanks" dxfId="270" priority="15">
      <formula>LEN(TRIM(C87))=0</formula>
    </cfRule>
  </conditionalFormatting>
  <conditionalFormatting sqref="C104:N116">
    <cfRule type="containsBlanks" dxfId="269" priority="13">
      <formula>LEN(TRIM(C104))=0</formula>
    </cfRule>
  </conditionalFormatting>
  <conditionalFormatting sqref="C121:N132">
    <cfRule type="containsBlanks" dxfId="268" priority="11">
      <formula>LEN(TRIM(C121))=0</formula>
    </cfRule>
  </conditionalFormatting>
  <conditionalFormatting sqref="C138:N138">
    <cfRule type="containsBlanks" dxfId="267" priority="9">
      <formula>LEN(TRIM(C138))=0</formula>
    </cfRule>
  </conditionalFormatting>
  <conditionalFormatting sqref="C148:N154">
    <cfRule type="containsBlanks" dxfId="266" priority="8">
      <formula>LEN(TRIM(C148))=0</formula>
    </cfRule>
  </conditionalFormatting>
  <conditionalFormatting sqref="C157:N163">
    <cfRule type="containsBlanks" dxfId="265" priority="7">
      <formula>LEN(TRIM(C157))=0</formula>
    </cfRule>
  </conditionalFormatting>
  <conditionalFormatting sqref="C166:N174">
    <cfRule type="containsBlanks" dxfId="264" priority="6">
      <formula>LEN(TRIM(C166))=0</formula>
    </cfRule>
  </conditionalFormatting>
  <conditionalFormatting sqref="D71:N72">
    <cfRule type="containsBlanks" dxfId="263" priority="5">
      <formula>LEN(TRIM(D71))=0</formula>
    </cfRule>
  </conditionalFormatting>
  <conditionalFormatting sqref="N40:N42 N44:N45">
    <cfRule type="containsBlanks" dxfId="262" priority="4">
      <formula>LEN(TRIM(N40))=0</formula>
    </cfRule>
  </conditionalFormatting>
  <conditionalFormatting sqref="N43">
    <cfRule type="containsBlanks" dxfId="261" priority="3">
      <formula>LEN(TRIM(N43))=0</formula>
    </cfRule>
  </conditionalFormatting>
  <conditionalFormatting sqref="P35">
    <cfRule type="expression" dxfId="260" priority="1">
      <formula>AND(COUNT(L33:XEN33)&lt;&gt;0,(P35)="")</formula>
    </cfRule>
  </conditionalFormatting>
  <conditionalFormatting sqref="P35">
    <cfRule type="expression" dxfId="259" priority="2">
      <formula>AND($AK33&lt;&gt;"",ISBLANK($E33:$AG33))</formula>
    </cfRule>
  </conditionalFormatting>
  <dataValidations count="3">
    <dataValidation type="decimal" operator="greaterThanOrEqual" allowBlank="1" showInputMessage="1" showErrorMessage="1" error="The value must be positive" sqref="C10:N10 C7:L7 F20:N20 D18:N19 D20:E21 C18:C21 C24:N26 C28:N29 C32:N34 C36:N37 C40:N42 C44:N45" xr:uid="{7A44AA7E-F052-418D-8D6F-328CB92FF8A0}">
      <formula1>0</formula1>
    </dataValidation>
    <dataValidation type="custom" operator="lessThanOrEqual" showInputMessage="1" showErrorMessage="1" error="Invalid source name. _x000a__x000a_The source must contain a maximum of 20 characters and the following special characters are forbidden: _x000a_- slash  &quot;/&quot;_x000a_- ampersand &quot;&amp;&quot;_x000a_- semicolon  &quot;;&quot;_x000a_- single quote  &quot;'&quot;_x000a_- equal sign  &quot;=&quot;_x000a_- space  &quot; &quot;" sqref="O7 O10:O17 O33:O39 O43:O44 O50:O58 O24:O30 O60:O66 O70 O138 O102:O115 O72:O78 O121:O132 O82:O99" xr:uid="{3918180D-ED37-4F73-96CF-090A8EEE6F4B}">
      <formula1>AND(LEN(O7)&lt;21,ISERROR(SEARCH("&amp;",O7))=TRUE,ISERROR(SEARCH(" ",O7))=TRUE,ISERROR(SEARCH("/",O7))=TRUE,ISERROR(SEARCH(";",O7))=TRUE,ISERROR(SEARCH("=",O7))=TRUE,ISERROR(SEARCH("'",O7))=TRUE)</formula1>
    </dataValidation>
    <dataValidation type="custom" allowBlank="1" showInputMessage="1" showErrorMessage="1" error="Invalid source name, please refer to the guidelines" sqref="O2:O3" xr:uid="{C4993BFB-121D-46DC-9F49-E28AB7638EC0}">
      <formula1>AND(LEN(O:O)&lt;21,ISERROR(SEARCH("&amp;",O:O))=TRUE,ISERROR(SEARCH(" ",O:O))=TRUE,ISERROR(SEARCH(",",O:O))=TRUE,ISERROR(SEARCH(";",O:O))=TRUE,ISERROR(SEARCH("=",O:O))=TRUE,ISERROR(SEARCH("'",O:O))=TRUE)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14cfccfe-d05c-4ace-ac9c-889a36918eb7" xsi:nil="true"/>
    <Member xmlns="14cfccfe-d05c-4ace-ac9c-889a36918eb7">
      <UserInfo>
        <DisplayName/>
        <AccountId xsi:nil="true"/>
        <AccountType/>
      </UserInfo>
    </Member>
    <TaxCatchAll xmlns="25b506d0-762b-47aa-adb6-8b80fc2be8cf" xsi:nil="true"/>
    <lcf76f155ced4ddcb4097134ff3c332f xmlns="14cfccfe-d05c-4ace-ac9c-889a36918eb7">
      <Terms xmlns="http://schemas.microsoft.com/office/infopath/2007/PartnerControls"/>
    </lcf76f155ced4ddcb4097134ff3c332f>
    <SharedWithUsers xmlns="25b506d0-762b-47aa-adb6-8b80fc2be8cf">
      <UserInfo>
        <DisplayName>Frank Gerard</DisplayName>
        <AccountId>6342</AccountId>
        <AccountType/>
      </UserInfo>
      <UserInfo>
        <DisplayName>Ling Ying Lee</DisplayName>
        <AccountId>9854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7D3B914211DA4690539851AF11284A" ma:contentTypeVersion="24" ma:contentTypeDescription="Een nieuw document maken." ma:contentTypeScope="" ma:versionID="7a4ecf5d27ba0a2220fd3f8fad46eef7">
  <xsd:schema xmlns:xsd="http://www.w3.org/2001/XMLSchema" xmlns:xs="http://www.w3.org/2001/XMLSchema" xmlns:p="http://schemas.microsoft.com/office/2006/metadata/properties" xmlns:ns2="25b506d0-762b-47aa-adb6-8b80fc2be8cf" xmlns:ns3="14cfccfe-d05c-4ace-ac9c-889a36918eb7" targetNamespace="http://schemas.microsoft.com/office/2006/metadata/properties" ma:root="true" ma:fieldsID="e04e50e44abdcf33c48c18269eec4b14" ns2:_="" ns3:_="">
    <xsd:import namespace="25b506d0-762b-47aa-adb6-8b80fc2be8cf"/>
    <xsd:import namespace="14cfccfe-d05c-4ace-ac9c-889a36918e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Version0" minOccurs="0"/>
                <xsd:element ref="ns3:Version_x003a_Version" minOccurs="0"/>
                <xsd:element ref="ns3:Membe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506d0-762b-47aa-adb6-8b80fc2b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8" nillable="true" ma:displayName="Taxonomy Catch All Column" ma:hidden="true" ma:list="{3a94f2be-4462-4e83-94ac-4018202ecbfa}" ma:internalName="TaxCatchAll" ma:showField="CatchAllData" ma:web="25b506d0-762b-47aa-adb6-8b80fc2be8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ccfe-d05c-4ace-ac9c-889a36918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ersion0" ma:index="22" nillable="true" ma:displayName="Version" ma:list="{727145e8-1f71-402e-9ff5-87f3840ee372}" ma:internalName="Version0" ma:showField="Title">
      <xsd:simpleType>
        <xsd:restriction base="dms:Lookup"/>
      </xsd:simpleType>
    </xsd:element>
    <xsd:element name="Version_x003a_Version" ma:index="23" nillable="true" ma:displayName="Version:Version" ma:list="{727145e8-1f71-402e-9ff5-87f3840ee372}" ma:internalName="Version_x003a_Version" ma:readOnly="true" ma:showField="_UIVersionString" ma:web="25b506d0-762b-47aa-adb6-8b80fc2be8cf">
      <xsd:simpleType>
        <xsd:restriction base="dms:Lookup"/>
      </xsd:simpleType>
    </xsd:element>
    <xsd:element name="Member" ma:index="24" nillable="true" ma:displayName="Member" ma:format="Dropdown" ma:list="UserInfo" ma:SharePointGroup="0" ma:internalName="Memb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Afbeeldingtags" ma:readOnly="false" ma:fieldId="{5cf76f15-5ced-4ddc-b409-7134ff3c332f}" ma:taxonomyMulti="true" ma:sspId="3d4702b5-1689-4512-8d10-07ea09318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D70E1-CD89-44AD-94D8-1CA162A22C8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4cfccfe-d05c-4ace-ac9c-889a36918eb7"/>
    <ds:schemaRef ds:uri="http://schemas.microsoft.com/office/infopath/2007/PartnerControls"/>
    <ds:schemaRef ds:uri="http://purl.org/dc/terms/"/>
    <ds:schemaRef ds:uri="25b506d0-762b-47aa-adb6-8b80fc2be8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B6D9A2-16A9-440E-97DD-D7677E547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96EB0-4EE4-4068-8848-2BEE39EA79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Sources </vt:lpstr>
      <vt:lpstr> Macroeconomy (ktoe)</vt:lpstr>
      <vt:lpstr>Macroeconomy (GWh)</vt:lpstr>
      <vt:lpstr> INDUSTRY (ktoe)</vt:lpstr>
      <vt:lpstr>Baseline scenario</vt:lpstr>
      <vt:lpstr>Industry (GWh)</vt:lpstr>
      <vt:lpstr> Transport (ktoe)</vt:lpstr>
      <vt:lpstr> Transport (GWh)</vt:lpstr>
      <vt:lpstr>Households (GWh)</vt:lpstr>
      <vt:lpstr>Households (ktoe)</vt:lpstr>
      <vt:lpstr>SERVICE (ktoe)</vt:lpstr>
      <vt:lpstr>Service (GWh)</vt:lpstr>
      <vt:lpstr>Energy prices</vt:lpstr>
      <vt:lpstr>Figures of D2</vt:lpstr>
      <vt:lpstr>'Figures of D2'!_Ref126055748</vt:lpstr>
      <vt:lpstr>'Figures of D2'!_Ref126056500</vt:lpstr>
      <vt:lpstr>'Figures of D2'!_Ref126072608</vt:lpstr>
      <vt:lpstr>'Figures of D2'!_Ref126072961</vt:lpstr>
      <vt:lpstr>'Figures of D2'!_Ref126073041</vt:lpstr>
    </vt:vector>
  </TitlesOfParts>
  <Manager/>
  <Company>Tallinn University of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Roos</dc:creator>
  <cp:keywords/>
  <dc:description/>
  <cp:lastModifiedBy>Markus Tamm</cp:lastModifiedBy>
  <cp:revision/>
  <dcterms:created xsi:type="dcterms:W3CDTF">2022-11-01T09:30:52Z</dcterms:created>
  <dcterms:modified xsi:type="dcterms:W3CDTF">2023-09-08T13:22:11Z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0x010100887D3B914211DA4690539851AF11284A</vt:lpwstr>
  </property>
  <property fmtid="{D5CDD505-2E9C-101B-9397-08002B2CF9AE}" pid="3" name="MediaServiceImageTags">
    <vt:lpwstr/>
  </property>
</Properties>
</file>