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https://trinomics.sharepoint.com/Ong/TEC8332EU REFORM - Gas decarbonisation pathways for Estonia/Implementation/DLV4/"/>
    </mc:Choice>
  </mc:AlternateContent>
  <xr:revisionPtr revIDLastSave="2331" documentId="13_ncr:1_{8D2DE3CA-917F-474D-9698-D0029BFA35E5}" xr6:coauthVersionLast="47" xr6:coauthVersionMax="47" xr10:uidLastSave="{57AFC919-7E12-418D-8BEF-106D5F386414}"/>
  <bookViews>
    <workbookView xWindow="-110" yWindow="-110" windowWidth="19420" windowHeight="10300" tabRatio="850" xr2:uid="{00000000-000D-0000-FFFF-FFFF00000000}"/>
  </bookViews>
  <sheets>
    <sheet name="Intro" sheetId="28" r:id="rId1"/>
    <sheet name="Average cost" sheetId="29" r:id="rId2"/>
    <sheet name="Assumptions" sheetId="48" r:id="rId3"/>
    <sheet name="Gas supply" sheetId="30" r:id="rId4"/>
    <sheet name="LCOE" sheetId="31" r:id="rId5"/>
    <sheet name="Investments_2" sheetId="36" state="hidden" r:id="rId6"/>
    <sheet name="Investments" sheetId="39" r:id="rId7"/>
    <sheet name="Network tariffs" sheetId="47" r:id="rId8"/>
    <sheet name="Taxes" sheetId="41" r:id="rId9"/>
    <sheet name="Consumption" sheetId="51" r:id="rId10"/>
    <sheet name="HH_consumption (2)" sheetId="50" state="hidden" r:id="rId11"/>
    <sheet name="HH_consumption" sheetId="44" state="hidden" r:id="rId12"/>
    <sheet name="COM_consumption" sheetId="45" state="hidden" r:id="rId13"/>
    <sheet name="Sheet2" sheetId="49" state="hidden" r:id="rId14"/>
    <sheet name="Consumption_2" sheetId="42" state="hidden" r:id="rId15"/>
    <sheet name="Sheet1" sheetId="43" state="hidden" r:id="rId16"/>
    <sheet name="Charts" sheetId="26" state="hidden" r:id="rId17"/>
    <sheet name="Styles" sheetId="27" state="hidden" r:id="rId18"/>
    <sheet name="consumpt2" sheetId="32" state="hidden"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31" l="1"/>
  <c r="E106" i="47" l="1"/>
  <c r="P27" i="29"/>
  <c r="P26" i="29"/>
  <c r="L27" i="29"/>
  <c r="L26" i="29"/>
  <c r="H27" i="29"/>
  <c r="H26" i="29"/>
  <c r="D56" i="31"/>
  <c r="E56" i="31"/>
  <c r="F56" i="31"/>
  <c r="G56" i="31"/>
  <c r="H56" i="31"/>
  <c r="I56" i="31"/>
  <c r="J56" i="31"/>
  <c r="K56" i="31"/>
  <c r="L56" i="31"/>
  <c r="M56" i="31"/>
  <c r="N56" i="31"/>
  <c r="C56" i="31"/>
  <c r="D55" i="31"/>
  <c r="E55" i="31"/>
  <c r="F55" i="31"/>
  <c r="G55" i="31"/>
  <c r="H55" i="31"/>
  <c r="I55" i="31"/>
  <c r="J55" i="31"/>
  <c r="K55" i="31"/>
  <c r="L55" i="31"/>
  <c r="M55" i="31"/>
  <c r="N55" i="31"/>
  <c r="D54" i="31"/>
  <c r="E54" i="31"/>
  <c r="F54" i="31"/>
  <c r="G54" i="31"/>
  <c r="H54" i="31"/>
  <c r="I54" i="31"/>
  <c r="J54" i="31"/>
  <c r="K54" i="31"/>
  <c r="L54" i="31"/>
  <c r="M54" i="31"/>
  <c r="N54" i="31"/>
  <c r="C54" i="31"/>
  <c r="D53" i="31"/>
  <c r="E53" i="31"/>
  <c r="F53" i="31"/>
  <c r="G53" i="31"/>
  <c r="H53" i="31"/>
  <c r="I53" i="31"/>
  <c r="J53" i="31"/>
  <c r="K53" i="31"/>
  <c r="L53" i="31"/>
  <c r="M53" i="31"/>
  <c r="N53" i="31"/>
  <c r="C53" i="31"/>
  <c r="E97" i="47"/>
  <c r="AH89" i="47"/>
  <c r="X89" i="47"/>
  <c r="Y89" i="47" s="1"/>
  <c r="N89" i="47"/>
  <c r="O89" i="47" s="1"/>
  <c r="E89" i="47"/>
  <c r="F89" i="47" s="1"/>
  <c r="AH84" i="47"/>
  <c r="X84" i="47"/>
  <c r="Y84" i="47" s="1"/>
  <c r="N84" i="47"/>
  <c r="O84" i="47" s="1"/>
  <c r="E84" i="47"/>
  <c r="F84" i="47" s="1"/>
  <c r="AH79" i="47"/>
  <c r="X79" i="47"/>
  <c r="X80" i="47" s="1"/>
  <c r="O79" i="47"/>
  <c r="P79" i="47" s="1"/>
  <c r="N79" i="47"/>
  <c r="E79" i="47"/>
  <c r="F79" i="47" s="1"/>
  <c r="Z55" i="47"/>
  <c r="AA55" i="47"/>
  <c r="AB55" i="47" s="1"/>
  <c r="Y55" i="47"/>
  <c r="Z50" i="47"/>
  <c r="AA50" i="47" s="1"/>
  <c r="Y50" i="47"/>
  <c r="Z45" i="47"/>
  <c r="AA45" i="47" s="1"/>
  <c r="Y45" i="47"/>
  <c r="Y56" i="47"/>
  <c r="Y51" i="47"/>
  <c r="P55" i="47"/>
  <c r="Q55" i="47" s="1"/>
  <c r="O55" i="47"/>
  <c r="O56" i="47" s="1"/>
  <c r="P50" i="47"/>
  <c r="P51" i="47" s="1"/>
  <c r="Q50" i="47"/>
  <c r="Q51" i="47" s="1"/>
  <c r="R50" i="47"/>
  <c r="R51" i="47" s="1"/>
  <c r="S50" i="47"/>
  <c r="T50" i="47" s="1"/>
  <c r="O50" i="47"/>
  <c r="P45" i="47"/>
  <c r="Q45" i="47"/>
  <c r="Q46" i="47" s="1"/>
  <c r="O45" i="47"/>
  <c r="O46" i="47"/>
  <c r="G55" i="47"/>
  <c r="H55" i="47" s="1"/>
  <c r="F55" i="47"/>
  <c r="F56" i="47" s="1"/>
  <c r="N50" i="47"/>
  <c r="G50" i="47"/>
  <c r="H50" i="47" s="1"/>
  <c r="F50" i="47"/>
  <c r="N45" i="47"/>
  <c r="N46" i="47"/>
  <c r="G45" i="47"/>
  <c r="H45" i="47"/>
  <c r="I45" i="47" s="1"/>
  <c r="F45" i="47"/>
  <c r="F46" i="47" s="1"/>
  <c r="F51" i="47"/>
  <c r="AH55" i="47"/>
  <c r="AH50" i="47"/>
  <c r="AH51" i="47" s="1"/>
  <c r="AH45" i="47"/>
  <c r="AH46" i="47"/>
  <c r="X55" i="47"/>
  <c r="X50" i="47"/>
  <c r="X45" i="47"/>
  <c r="X46" i="47" s="1"/>
  <c r="X56" i="47"/>
  <c r="X51" i="47"/>
  <c r="N55" i="47"/>
  <c r="N56" i="47" s="1"/>
  <c r="E55" i="47"/>
  <c r="E50" i="47"/>
  <c r="E45" i="47"/>
  <c r="E56" i="47"/>
  <c r="E51" i="47"/>
  <c r="AH74" i="47"/>
  <c r="X74" i="47"/>
  <c r="Y74" i="47" s="1"/>
  <c r="N74" i="47"/>
  <c r="N75" i="47" s="1"/>
  <c r="E74" i="47"/>
  <c r="F74" i="47" s="1"/>
  <c r="G74" i="47" s="1"/>
  <c r="H74" i="47" s="1"/>
  <c r="I74" i="47" s="1"/>
  <c r="J74" i="47" s="1"/>
  <c r="K74" i="47" s="1"/>
  <c r="L74" i="47" s="1"/>
  <c r="M74" i="47" s="1"/>
  <c r="X75" i="47"/>
  <c r="AH40" i="47"/>
  <c r="AH41" i="47" s="1"/>
  <c r="Z40" i="47"/>
  <c r="AA40" i="47" s="1"/>
  <c r="Y40" i="47"/>
  <c r="Y41" i="47"/>
  <c r="X40" i="47"/>
  <c r="X41" i="47" s="1"/>
  <c r="P40" i="47"/>
  <c r="Q40" i="47" s="1"/>
  <c r="O40" i="47"/>
  <c r="O41" i="47"/>
  <c r="N40" i="47"/>
  <c r="G40" i="47"/>
  <c r="H40" i="47" s="1"/>
  <c r="F40" i="47"/>
  <c r="F41" i="47"/>
  <c r="E40" i="47"/>
  <c r="E41" i="47"/>
  <c r="AH90" i="47"/>
  <c r="X90" i="47"/>
  <c r="N90" i="47"/>
  <c r="E90" i="47"/>
  <c r="AH85" i="47"/>
  <c r="X85" i="47"/>
  <c r="N85" i="47"/>
  <c r="E85" i="47"/>
  <c r="AH80" i="47"/>
  <c r="O80" i="47"/>
  <c r="N80" i="47"/>
  <c r="E80" i="47"/>
  <c r="AH75" i="47"/>
  <c r="E75" i="47"/>
  <c r="AH56" i="47"/>
  <c r="Z56" i="47"/>
  <c r="P56" i="47"/>
  <c r="Z51" i="47"/>
  <c r="O51" i="47"/>
  <c r="N51" i="47"/>
  <c r="Y46" i="47"/>
  <c r="P46" i="47"/>
  <c r="H46" i="47"/>
  <c r="G46" i="47"/>
  <c r="E46" i="47"/>
  <c r="Z41" i="47"/>
  <c r="P41" i="47"/>
  <c r="N41" i="47"/>
  <c r="G41" i="47"/>
  <c r="E39" i="47"/>
  <c r="E27" i="47"/>
  <c r="E62" i="47"/>
  <c r="E29" i="51"/>
  <c r="N56" i="29"/>
  <c r="O56" i="29"/>
  <c r="M56" i="29"/>
  <c r="J57" i="29"/>
  <c r="K57" i="29"/>
  <c r="L57" i="29"/>
  <c r="H57" i="29"/>
  <c r="F29" i="51"/>
  <c r="E56" i="29" s="1"/>
  <c r="G29" i="51"/>
  <c r="I56" i="29" s="1"/>
  <c r="H29" i="51"/>
  <c r="P56" i="29" s="1"/>
  <c r="F30" i="51"/>
  <c r="E57" i="29" s="1"/>
  <c r="G30" i="51"/>
  <c r="I57" i="29" s="1"/>
  <c r="H30" i="51"/>
  <c r="N57" i="29" s="1"/>
  <c r="E30" i="51"/>
  <c r="D61" i="50"/>
  <c r="D13" i="51"/>
  <c r="E13" i="51"/>
  <c r="H13" i="51" s="1"/>
  <c r="F13" i="51"/>
  <c r="I13" i="51" s="1"/>
  <c r="G13" i="51"/>
  <c r="J13" i="51" s="1"/>
  <c r="Q31" i="50"/>
  <c r="J12" i="51"/>
  <c r="I12" i="51"/>
  <c r="H12" i="51"/>
  <c r="J11" i="51"/>
  <c r="I11" i="51"/>
  <c r="H11" i="51"/>
  <c r="J10" i="51"/>
  <c r="I10" i="51"/>
  <c r="H10" i="51"/>
  <c r="J9" i="51"/>
  <c r="I9" i="51"/>
  <c r="H9" i="51"/>
  <c r="E67" i="47"/>
  <c r="E33" i="47"/>
  <c r="H56" i="29" l="1"/>
  <c r="L56" i="29"/>
  <c r="G56" i="29"/>
  <c r="K56" i="29"/>
  <c r="F56" i="29"/>
  <c r="J56" i="29"/>
  <c r="G57" i="29"/>
  <c r="M57" i="29"/>
  <c r="F57" i="29"/>
  <c r="P57" i="29"/>
  <c r="O57" i="29"/>
  <c r="G89" i="47"/>
  <c r="F90" i="47"/>
  <c r="P89" i="47"/>
  <c r="O90" i="47"/>
  <c r="Z89" i="47"/>
  <c r="Y90" i="47"/>
  <c r="G84" i="47"/>
  <c r="F85" i="47"/>
  <c r="P84" i="47"/>
  <c r="O85" i="47"/>
  <c r="Z84" i="47"/>
  <c r="Y85" i="47"/>
  <c r="G79" i="47"/>
  <c r="F80" i="47"/>
  <c r="Q79" i="47"/>
  <c r="P80" i="47"/>
  <c r="Y79" i="47"/>
  <c r="AC55" i="47"/>
  <c r="AB56" i="47"/>
  <c r="AA56" i="47"/>
  <c r="AA51" i="47"/>
  <c r="AB50" i="47"/>
  <c r="AB45" i="47"/>
  <c r="AA46" i="47"/>
  <c r="Z46" i="47"/>
  <c r="R55" i="47"/>
  <c r="Q56" i="47"/>
  <c r="T51" i="47"/>
  <c r="U50" i="47"/>
  <c r="S51" i="47"/>
  <c r="R45" i="47"/>
  <c r="I55" i="47"/>
  <c r="H56" i="47"/>
  <c r="G56" i="47"/>
  <c r="I50" i="47"/>
  <c r="H51" i="47"/>
  <c r="G51" i="47"/>
  <c r="I46" i="47"/>
  <c r="J45" i="47"/>
  <c r="Y75" i="47"/>
  <c r="Z74" i="47"/>
  <c r="AA74" i="47" s="1"/>
  <c r="AB74" i="47" s="1"/>
  <c r="AC74" i="47" s="1"/>
  <c r="AD74" i="47" s="1"/>
  <c r="AE74" i="47" s="1"/>
  <c r="AF74" i="47" s="1"/>
  <c r="AG74" i="47" s="1"/>
  <c r="O74" i="47"/>
  <c r="P74" i="47" s="1"/>
  <c r="Q74" i="47" s="1"/>
  <c r="R74" i="47" s="1"/>
  <c r="S74" i="47" s="1"/>
  <c r="T74" i="47" s="1"/>
  <c r="U74" i="47" s="1"/>
  <c r="V74" i="47" s="1"/>
  <c r="W74" i="47" s="1"/>
  <c r="F75" i="47"/>
  <c r="AA41" i="47"/>
  <c r="AB40" i="47"/>
  <c r="R40" i="47"/>
  <c r="Q41" i="47"/>
  <c r="I40" i="47"/>
  <c r="H41" i="47"/>
  <c r="F21" i="51"/>
  <c r="G21" i="51" s="1"/>
  <c r="H21" i="51" s="1"/>
  <c r="F20" i="51"/>
  <c r="G20" i="51" s="1"/>
  <c r="H20" i="51" s="1"/>
  <c r="AA89" i="47" l="1"/>
  <c r="Z90" i="47"/>
  <c r="Q89" i="47"/>
  <c r="P90" i="47"/>
  <c r="H89" i="47"/>
  <c r="G90" i="47"/>
  <c r="AA84" i="47"/>
  <c r="Z85" i="47"/>
  <c r="Q84" i="47"/>
  <c r="P85" i="47"/>
  <c r="H84" i="47"/>
  <c r="G85" i="47"/>
  <c r="H79" i="47"/>
  <c r="G80" i="47"/>
  <c r="Y80" i="47"/>
  <c r="Z79" i="47"/>
  <c r="R79" i="47"/>
  <c r="Q80" i="47"/>
  <c r="AC56" i="47"/>
  <c r="AD55" i="47"/>
  <c r="AC50" i="47"/>
  <c r="AB51" i="47"/>
  <c r="AC45" i="47"/>
  <c r="AB46" i="47"/>
  <c r="S55" i="47"/>
  <c r="R56" i="47"/>
  <c r="V50" i="47"/>
  <c r="U51" i="47"/>
  <c r="S45" i="47"/>
  <c r="R46" i="47"/>
  <c r="I56" i="47"/>
  <c r="J55" i="47"/>
  <c r="I51" i="47"/>
  <c r="J50" i="47"/>
  <c r="K45" i="47"/>
  <c r="J46" i="47"/>
  <c r="O75" i="47"/>
  <c r="G75" i="47"/>
  <c r="Z75" i="47"/>
  <c r="P75" i="47"/>
  <c r="AC40" i="47"/>
  <c r="AB41" i="47"/>
  <c r="S40" i="47"/>
  <c r="R41" i="47"/>
  <c r="J40" i="47"/>
  <c r="I41" i="47"/>
  <c r="R41" i="50"/>
  <c r="S41" i="50" s="1"/>
  <c r="Q41" i="50"/>
  <c r="D52" i="50" s="1"/>
  <c r="D64" i="50" s="1"/>
  <c r="I11" i="50"/>
  <c r="R36" i="50"/>
  <c r="S36" i="50"/>
  <c r="Q36" i="50"/>
  <c r="R31" i="50"/>
  <c r="S31" i="50" s="1"/>
  <c r="S26" i="50"/>
  <c r="R26" i="50"/>
  <c r="Q26" i="50"/>
  <c r="D49" i="50"/>
  <c r="D51" i="50"/>
  <c r="D63" i="50" s="1"/>
  <c r="D50" i="50"/>
  <c r="D62" i="50" s="1"/>
  <c r="P40" i="50"/>
  <c r="P41" i="50"/>
  <c r="O41" i="50"/>
  <c r="O40" i="50"/>
  <c r="O35" i="50"/>
  <c r="P35" i="50" s="1"/>
  <c r="O30" i="50"/>
  <c r="P30" i="50" s="1"/>
  <c r="O25" i="50"/>
  <c r="P25" i="50" s="1"/>
  <c r="H10" i="50"/>
  <c r="I10" i="50"/>
  <c r="J10" i="50"/>
  <c r="H11" i="50"/>
  <c r="J11" i="50"/>
  <c r="H12" i="50"/>
  <c r="I12" i="50"/>
  <c r="J12" i="50"/>
  <c r="J9" i="50"/>
  <c r="I9" i="50"/>
  <c r="H9" i="50"/>
  <c r="E39" i="50"/>
  <c r="E41" i="50" s="1"/>
  <c r="P39" i="50"/>
  <c r="O39" i="50"/>
  <c r="N39" i="50"/>
  <c r="N41" i="50" s="1"/>
  <c r="M39" i="50"/>
  <c r="M41" i="50" s="1"/>
  <c r="L39" i="50"/>
  <c r="L41" i="50" s="1"/>
  <c r="K39" i="50"/>
  <c r="K41" i="50" s="1"/>
  <c r="J39" i="50"/>
  <c r="J41" i="50" s="1"/>
  <c r="I39" i="50"/>
  <c r="I41" i="50" s="1"/>
  <c r="H39" i="50"/>
  <c r="H41" i="50" s="1"/>
  <c r="G39" i="50"/>
  <c r="G41" i="50" s="1"/>
  <c r="F39" i="50"/>
  <c r="F41" i="50" s="1"/>
  <c r="P34" i="50"/>
  <c r="O34" i="50"/>
  <c r="N34" i="50"/>
  <c r="N36" i="50" s="1"/>
  <c r="O36" i="50" s="1"/>
  <c r="P36" i="50" s="1"/>
  <c r="M34" i="50"/>
  <c r="M36" i="50" s="1"/>
  <c r="L34" i="50"/>
  <c r="L36" i="50" s="1"/>
  <c r="K34" i="50"/>
  <c r="K36" i="50" s="1"/>
  <c r="J34" i="50"/>
  <c r="J36" i="50" s="1"/>
  <c r="I34" i="50"/>
  <c r="I36" i="50" s="1"/>
  <c r="H34" i="50"/>
  <c r="H36" i="50" s="1"/>
  <c r="G34" i="50"/>
  <c r="G36" i="50" s="1"/>
  <c r="F34" i="50"/>
  <c r="F36" i="50" s="1"/>
  <c r="E34" i="50"/>
  <c r="E36" i="50" s="1"/>
  <c r="P29" i="50"/>
  <c r="O29" i="50"/>
  <c r="N29" i="50"/>
  <c r="N31" i="50" s="1"/>
  <c r="M29" i="50"/>
  <c r="M31" i="50" s="1"/>
  <c r="L29" i="50"/>
  <c r="L31" i="50" s="1"/>
  <c r="K29" i="50"/>
  <c r="K31" i="50" s="1"/>
  <c r="J29" i="50"/>
  <c r="J31" i="50" s="1"/>
  <c r="I29" i="50"/>
  <c r="I31" i="50" s="1"/>
  <c r="H29" i="50"/>
  <c r="H31" i="50" s="1"/>
  <c r="G29" i="50"/>
  <c r="G31" i="50" s="1"/>
  <c r="F29" i="50"/>
  <c r="F31" i="50" s="1"/>
  <c r="E29" i="50"/>
  <c r="E31" i="50" s="1"/>
  <c r="F24" i="50"/>
  <c r="F26" i="50" s="1"/>
  <c r="G24" i="50"/>
  <c r="G26" i="50" s="1"/>
  <c r="H24" i="50"/>
  <c r="H26" i="50" s="1"/>
  <c r="I24" i="50"/>
  <c r="I26" i="50" s="1"/>
  <c r="J24" i="50"/>
  <c r="J26" i="50" s="1"/>
  <c r="K24" i="50"/>
  <c r="K26" i="50" s="1"/>
  <c r="L24" i="50"/>
  <c r="L26" i="50" s="1"/>
  <c r="M24" i="50"/>
  <c r="M26" i="50" s="1"/>
  <c r="N24" i="50"/>
  <c r="N26" i="50" s="1"/>
  <c r="O26" i="50" s="1"/>
  <c r="P26" i="50" s="1"/>
  <c r="O24" i="50"/>
  <c r="P24" i="50"/>
  <c r="E24" i="50"/>
  <c r="E26" i="50" s="1"/>
  <c r="E22" i="49"/>
  <c r="I22" i="49"/>
  <c r="H22" i="49"/>
  <c r="G22" i="49"/>
  <c r="F22" i="49"/>
  <c r="H19" i="49"/>
  <c r="G19" i="49"/>
  <c r="I19" i="49" s="1"/>
  <c r="F19" i="49"/>
  <c r="E19" i="49"/>
  <c r="I16" i="49"/>
  <c r="I13" i="49"/>
  <c r="F14" i="49"/>
  <c r="F11" i="49"/>
  <c r="E15" i="49"/>
  <c r="E16" i="49"/>
  <c r="E13" i="49"/>
  <c r="E12" i="49"/>
  <c r="O19" i="49"/>
  <c r="P19" i="49"/>
  <c r="F12" i="49" s="1"/>
  <c r="Q19" i="49"/>
  <c r="G12" i="49" s="1"/>
  <c r="G13" i="49" s="1"/>
  <c r="O20" i="49"/>
  <c r="P20" i="49"/>
  <c r="F15" i="49" s="1"/>
  <c r="Q20" i="49"/>
  <c r="G15" i="49" s="1"/>
  <c r="G16" i="49" s="1"/>
  <c r="P15" i="49"/>
  <c r="Q15" i="49"/>
  <c r="O15" i="49"/>
  <c r="O16" i="49"/>
  <c r="P16" i="49"/>
  <c r="Q16" i="49"/>
  <c r="O14" i="49"/>
  <c r="P14" i="49"/>
  <c r="Q14" i="49"/>
  <c r="R14" i="49"/>
  <c r="H16" i="49"/>
  <c r="H13" i="49"/>
  <c r="H15" i="49"/>
  <c r="H12" i="49"/>
  <c r="R20" i="49"/>
  <c r="R19" i="49"/>
  <c r="R16" i="49"/>
  <c r="R15" i="49"/>
  <c r="E11" i="45"/>
  <c r="I10" i="49"/>
  <c r="F10" i="49"/>
  <c r="G10" i="49"/>
  <c r="H10" i="49"/>
  <c r="E10" i="49"/>
  <c r="I7" i="49"/>
  <c r="H7" i="49"/>
  <c r="G7" i="49"/>
  <c r="F7" i="49"/>
  <c r="E7" i="49"/>
  <c r="I89" i="47" l="1"/>
  <c r="H90" i="47"/>
  <c r="R89" i="47"/>
  <c r="Q90" i="47"/>
  <c r="AB89" i="47"/>
  <c r="AA90" i="47"/>
  <c r="I84" i="47"/>
  <c r="H85" i="47"/>
  <c r="R84" i="47"/>
  <c r="Q85" i="47"/>
  <c r="AB84" i="47"/>
  <c r="AA85" i="47"/>
  <c r="S79" i="47"/>
  <c r="R80" i="47"/>
  <c r="Z80" i="47"/>
  <c r="AA79" i="47"/>
  <c r="I79" i="47"/>
  <c r="H80" i="47"/>
  <c r="AE55" i="47"/>
  <c r="AD56" i="47"/>
  <c r="AC51" i="47"/>
  <c r="AD50" i="47"/>
  <c r="AD45" i="47"/>
  <c r="AC46" i="47"/>
  <c r="T55" i="47"/>
  <c r="S56" i="47"/>
  <c r="V51" i="47"/>
  <c r="W50" i="47"/>
  <c r="W51" i="47" s="1"/>
  <c r="T45" i="47"/>
  <c r="S46" i="47"/>
  <c r="J56" i="47"/>
  <c r="K55" i="47"/>
  <c r="J51" i="47"/>
  <c r="K50" i="47"/>
  <c r="L45" i="47"/>
  <c r="K46" i="47"/>
  <c r="Q75" i="47"/>
  <c r="AA75" i="47"/>
  <c r="H75" i="47"/>
  <c r="AC41" i="47"/>
  <c r="AD40" i="47"/>
  <c r="T40" i="47"/>
  <c r="S41" i="47"/>
  <c r="J41" i="47"/>
  <c r="K40" i="47"/>
  <c r="O31" i="50"/>
  <c r="F13" i="49"/>
  <c r="F16" i="49"/>
  <c r="AC89" i="47" l="1"/>
  <c r="AB90" i="47"/>
  <c r="S89" i="47"/>
  <c r="R90" i="47"/>
  <c r="J89" i="47"/>
  <c r="I90" i="47"/>
  <c r="J84" i="47"/>
  <c r="I85" i="47"/>
  <c r="S84" i="47"/>
  <c r="R85" i="47"/>
  <c r="AC84" i="47"/>
  <c r="AB85" i="47"/>
  <c r="AA80" i="47"/>
  <c r="AB79" i="47"/>
  <c r="T79" i="47"/>
  <c r="S80" i="47"/>
  <c r="J79" i="47"/>
  <c r="I80" i="47"/>
  <c r="AE56" i="47"/>
  <c r="AF55" i="47"/>
  <c r="AE50" i="47"/>
  <c r="AD51" i="47"/>
  <c r="AE45" i="47"/>
  <c r="AD46" i="47"/>
  <c r="T56" i="47"/>
  <c r="U55" i="47"/>
  <c r="U45" i="47"/>
  <c r="T46" i="47"/>
  <c r="K56" i="47"/>
  <c r="L55" i="47"/>
  <c r="K51" i="47"/>
  <c r="L50" i="47"/>
  <c r="M45" i="47"/>
  <c r="M46" i="47" s="1"/>
  <c r="L46" i="47"/>
  <c r="R75" i="47"/>
  <c r="I75" i="47"/>
  <c r="AB75" i="47"/>
  <c r="AD41" i="47"/>
  <c r="AE40" i="47"/>
  <c r="T41" i="47"/>
  <c r="U40" i="47"/>
  <c r="K41" i="47"/>
  <c r="L40" i="47"/>
  <c r="F52" i="50"/>
  <c r="F64" i="50" s="1"/>
  <c r="E52" i="50"/>
  <c r="E64" i="50" s="1"/>
  <c r="F51" i="50"/>
  <c r="F63" i="50" s="1"/>
  <c r="E51" i="50"/>
  <c r="E63" i="50" s="1"/>
  <c r="F49" i="50"/>
  <c r="F61" i="50" s="1"/>
  <c r="E49" i="50"/>
  <c r="E61" i="50" s="1"/>
  <c r="P31" i="50"/>
  <c r="J90" i="47" l="1"/>
  <c r="K89" i="47"/>
  <c r="T89" i="47"/>
  <c r="S90" i="47"/>
  <c r="AD89" i="47"/>
  <c r="AC90" i="47"/>
  <c r="AD84" i="47"/>
  <c r="AC85" i="47"/>
  <c r="T84" i="47"/>
  <c r="S85" i="47"/>
  <c r="J85" i="47"/>
  <c r="K84" i="47"/>
  <c r="J80" i="47"/>
  <c r="K79" i="47"/>
  <c r="U79" i="47"/>
  <c r="T80" i="47"/>
  <c r="AC79" i="47"/>
  <c r="AB80" i="47"/>
  <c r="AF56" i="47"/>
  <c r="AG55" i="47"/>
  <c r="AG56" i="47" s="1"/>
  <c r="AF50" i="47"/>
  <c r="AE51" i="47"/>
  <c r="AE46" i="47"/>
  <c r="AF45" i="47"/>
  <c r="U56" i="47"/>
  <c r="V55" i="47"/>
  <c r="U46" i="47"/>
  <c r="V45" i="47"/>
  <c r="M55" i="47"/>
  <c r="M56" i="47" s="1"/>
  <c r="L56" i="47"/>
  <c r="M50" i="47"/>
  <c r="M51" i="47" s="1"/>
  <c r="L51" i="47"/>
  <c r="J75" i="47"/>
  <c r="AC75" i="47"/>
  <c r="S75" i="47"/>
  <c r="AF40" i="47"/>
  <c r="AE41" i="47"/>
  <c r="U41" i="47"/>
  <c r="V40" i="47"/>
  <c r="L41" i="47"/>
  <c r="M40" i="47"/>
  <c r="M41" i="47" s="1"/>
  <c r="F50" i="50"/>
  <c r="F62" i="50" s="1"/>
  <c r="E50" i="50"/>
  <c r="E62" i="50" s="1"/>
  <c r="AE89" i="47" l="1"/>
  <c r="AD90" i="47"/>
  <c r="U89" i="47"/>
  <c r="T90" i="47"/>
  <c r="L89" i="47"/>
  <c r="K90" i="47"/>
  <c r="U84" i="47"/>
  <c r="T85" i="47"/>
  <c r="K85" i="47"/>
  <c r="L84" i="47"/>
  <c r="AE84" i="47"/>
  <c r="AD85" i="47"/>
  <c r="K80" i="47"/>
  <c r="L79" i="47"/>
  <c r="AD79" i="47"/>
  <c r="AC80" i="47"/>
  <c r="V79" i="47"/>
  <c r="U80" i="47"/>
  <c r="AG50" i="47"/>
  <c r="AG51" i="47" s="1"/>
  <c r="AF51" i="47"/>
  <c r="AF46" i="47"/>
  <c r="AG45" i="47"/>
  <c r="AG46" i="47" s="1"/>
  <c r="V56" i="47"/>
  <c r="W55" i="47"/>
  <c r="W56" i="47" s="1"/>
  <c r="W45" i="47"/>
  <c r="W46" i="47" s="1"/>
  <c r="V46" i="47"/>
  <c r="T75" i="47"/>
  <c r="AD75" i="47"/>
  <c r="K75" i="47"/>
  <c r="AG40" i="47"/>
  <c r="AG41" i="47" s="1"/>
  <c r="AF41" i="47"/>
  <c r="V41" i="47"/>
  <c r="W40" i="47"/>
  <c r="W41" i="47" s="1"/>
  <c r="R39" i="44"/>
  <c r="Q39" i="44"/>
  <c r="P39" i="44"/>
  <c r="G11" i="45"/>
  <c r="D11" i="44"/>
  <c r="H11" i="44" s="1"/>
  <c r="H12" i="44" s="1"/>
  <c r="E11" i="44"/>
  <c r="I11" i="44" s="1"/>
  <c r="I12" i="44" s="1"/>
  <c r="J11" i="44"/>
  <c r="K11" i="44"/>
  <c r="N11" i="44"/>
  <c r="O11" i="44"/>
  <c r="O12" i="44" s="1"/>
  <c r="R11" i="44"/>
  <c r="R12" i="44" s="1"/>
  <c r="S11" i="44"/>
  <c r="S12" i="44" s="1"/>
  <c r="J12" i="44"/>
  <c r="K12" i="44"/>
  <c r="N12" i="44"/>
  <c r="M89" i="47" l="1"/>
  <c r="M90" i="47" s="1"/>
  <c r="L90" i="47"/>
  <c r="V89" i="47"/>
  <c r="U90" i="47"/>
  <c r="AF89" i="47"/>
  <c r="AE90" i="47"/>
  <c r="AF84" i="47"/>
  <c r="AE85" i="47"/>
  <c r="M84" i="47"/>
  <c r="M85" i="47" s="1"/>
  <c r="L85" i="47"/>
  <c r="V84" i="47"/>
  <c r="U85" i="47"/>
  <c r="V80" i="47"/>
  <c r="W79" i="47"/>
  <c r="W80" i="47" s="1"/>
  <c r="AE79" i="47"/>
  <c r="AD80" i="47"/>
  <c r="L80" i="47"/>
  <c r="M79" i="47"/>
  <c r="M80" i="47" s="1"/>
  <c r="L75" i="47"/>
  <c r="M75" i="47"/>
  <c r="AE75" i="47"/>
  <c r="U75" i="47"/>
  <c r="Q11" i="44"/>
  <c r="Q12" i="44" s="1"/>
  <c r="P11" i="44"/>
  <c r="P12" i="44" s="1"/>
  <c r="M11" i="44"/>
  <c r="M12" i="44" s="1"/>
  <c r="L11" i="44"/>
  <c r="L12" i="44" s="1"/>
  <c r="AG89" i="47" l="1"/>
  <c r="AG90" i="47" s="1"/>
  <c r="AF90" i="47"/>
  <c r="V90" i="47"/>
  <c r="W89" i="47"/>
  <c r="W90" i="47" s="1"/>
  <c r="AG84" i="47"/>
  <c r="AG85" i="47" s="1"/>
  <c r="AF85" i="47"/>
  <c r="V85" i="47"/>
  <c r="W84" i="47"/>
  <c r="W85" i="47" s="1"/>
  <c r="AF79" i="47"/>
  <c r="AE80" i="47"/>
  <c r="V75" i="47"/>
  <c r="W75" i="47"/>
  <c r="AG75" i="47"/>
  <c r="AF75" i="47"/>
  <c r="P28" i="29"/>
  <c r="O28" i="29"/>
  <c r="N28" i="29"/>
  <c r="M28" i="29"/>
  <c r="L28" i="29"/>
  <c r="K28" i="29"/>
  <c r="J28" i="29"/>
  <c r="I28" i="29"/>
  <c r="H28" i="29"/>
  <c r="G28" i="29"/>
  <c r="F28" i="29"/>
  <c r="E28" i="29"/>
  <c r="F7" i="47"/>
  <c r="E61" i="47" s="1"/>
  <c r="E7" i="47"/>
  <c r="F10" i="47"/>
  <c r="E64" i="47" s="1"/>
  <c r="E10" i="47"/>
  <c r="E30" i="47" s="1"/>
  <c r="F9" i="47"/>
  <c r="E63" i="47" s="1"/>
  <c r="E9" i="47"/>
  <c r="E29" i="47" s="1"/>
  <c r="F8" i="47"/>
  <c r="E8" i="47"/>
  <c r="E28" i="47" s="1"/>
  <c r="G10" i="47"/>
  <c r="G9" i="47"/>
  <c r="G7" i="47"/>
  <c r="G8" i="47"/>
  <c r="O133" i="45"/>
  <c r="N133" i="45"/>
  <c r="M133" i="45"/>
  <c r="L133" i="45"/>
  <c r="K133" i="45"/>
  <c r="J133" i="45"/>
  <c r="I133" i="45"/>
  <c r="H133" i="45"/>
  <c r="G133" i="45"/>
  <c r="F133" i="45"/>
  <c r="E133" i="45"/>
  <c r="D133" i="45"/>
  <c r="P126" i="45"/>
  <c r="O126" i="45"/>
  <c r="N126" i="45"/>
  <c r="P125" i="45"/>
  <c r="O125" i="45"/>
  <c r="N125" i="45"/>
  <c r="P124" i="45"/>
  <c r="O124" i="45"/>
  <c r="N124" i="45"/>
  <c r="P123" i="45"/>
  <c r="O123" i="45"/>
  <c r="N123" i="45"/>
  <c r="P122" i="45"/>
  <c r="O122" i="45"/>
  <c r="N122" i="45"/>
  <c r="P121" i="45"/>
  <c r="O121" i="45"/>
  <c r="N121" i="45"/>
  <c r="P120" i="45"/>
  <c r="O120" i="45"/>
  <c r="N120" i="45"/>
  <c r="P119" i="45"/>
  <c r="O119" i="45"/>
  <c r="N119" i="45"/>
  <c r="P136" i="45" s="1"/>
  <c r="P118" i="45"/>
  <c r="O118" i="45"/>
  <c r="N118" i="45"/>
  <c r="P117" i="45"/>
  <c r="O117" i="45"/>
  <c r="N117" i="45"/>
  <c r="P116" i="45"/>
  <c r="O116" i="45"/>
  <c r="N116" i="45"/>
  <c r="O101" i="45"/>
  <c r="N101" i="45"/>
  <c r="M101" i="45"/>
  <c r="L101" i="45"/>
  <c r="K101" i="45"/>
  <c r="J101" i="45"/>
  <c r="I101" i="45"/>
  <c r="H101" i="45"/>
  <c r="G101" i="45"/>
  <c r="F101" i="45"/>
  <c r="E101" i="45"/>
  <c r="D101" i="45"/>
  <c r="P94" i="45"/>
  <c r="O94" i="45"/>
  <c r="N94" i="45"/>
  <c r="P93" i="45"/>
  <c r="O93" i="45"/>
  <c r="N93" i="45"/>
  <c r="P92" i="45"/>
  <c r="O92" i="45"/>
  <c r="N92" i="45"/>
  <c r="P91" i="45"/>
  <c r="O91" i="45"/>
  <c r="N91" i="45"/>
  <c r="P90" i="45"/>
  <c r="O90" i="45"/>
  <c r="N90" i="45"/>
  <c r="P89" i="45"/>
  <c r="O89" i="45"/>
  <c r="N89" i="45"/>
  <c r="P88" i="45"/>
  <c r="O88" i="45"/>
  <c r="N88" i="45"/>
  <c r="P87" i="45"/>
  <c r="O87" i="45"/>
  <c r="N87" i="45"/>
  <c r="P104" i="45" s="1"/>
  <c r="P86" i="45"/>
  <c r="O86" i="45"/>
  <c r="N86" i="45"/>
  <c r="P85" i="45"/>
  <c r="O85" i="45"/>
  <c r="N85" i="45"/>
  <c r="P84" i="45"/>
  <c r="O84" i="45"/>
  <c r="N84" i="45"/>
  <c r="O69" i="45"/>
  <c r="N69" i="45"/>
  <c r="M69" i="45"/>
  <c r="L69" i="45"/>
  <c r="K69" i="45"/>
  <c r="J69" i="45"/>
  <c r="I69" i="45"/>
  <c r="H69" i="45"/>
  <c r="G69" i="45"/>
  <c r="F69" i="45"/>
  <c r="E69" i="45"/>
  <c r="D69" i="45"/>
  <c r="P62" i="45"/>
  <c r="O62" i="45"/>
  <c r="N62" i="45"/>
  <c r="P61" i="45"/>
  <c r="O61" i="45"/>
  <c r="N61" i="45"/>
  <c r="P60" i="45"/>
  <c r="O60" i="45"/>
  <c r="N60" i="45"/>
  <c r="P59" i="45"/>
  <c r="O59" i="45"/>
  <c r="N59" i="45"/>
  <c r="P58" i="45"/>
  <c r="O58" i="45"/>
  <c r="N58" i="45"/>
  <c r="P57" i="45"/>
  <c r="O57" i="45"/>
  <c r="N57" i="45"/>
  <c r="P56" i="45"/>
  <c r="O56" i="45"/>
  <c r="N56" i="45"/>
  <c r="P55" i="45"/>
  <c r="O55" i="45"/>
  <c r="N55" i="45"/>
  <c r="P72" i="45" s="1"/>
  <c r="P54" i="45"/>
  <c r="O54" i="45"/>
  <c r="N54" i="45"/>
  <c r="P53" i="45"/>
  <c r="O53" i="45"/>
  <c r="N53" i="45"/>
  <c r="P52" i="45"/>
  <c r="O52" i="45"/>
  <c r="N52" i="45"/>
  <c r="O37" i="45"/>
  <c r="N37" i="45"/>
  <c r="M37" i="45"/>
  <c r="L37" i="45"/>
  <c r="K37" i="45"/>
  <c r="J37" i="45"/>
  <c r="I37" i="45"/>
  <c r="H37" i="45"/>
  <c r="G37" i="45"/>
  <c r="F37" i="45"/>
  <c r="E37" i="45"/>
  <c r="D37" i="45"/>
  <c r="P30" i="45"/>
  <c r="O30" i="45"/>
  <c r="N30" i="45"/>
  <c r="P29" i="45"/>
  <c r="O29" i="45"/>
  <c r="N29" i="45"/>
  <c r="P28" i="45"/>
  <c r="O28" i="45"/>
  <c r="N28" i="45"/>
  <c r="P27" i="45"/>
  <c r="O27" i="45"/>
  <c r="N27" i="45"/>
  <c r="P26" i="45"/>
  <c r="O26" i="45"/>
  <c r="N26" i="45"/>
  <c r="P25" i="45"/>
  <c r="O25" i="45"/>
  <c r="N25" i="45"/>
  <c r="P24" i="45"/>
  <c r="O24" i="45"/>
  <c r="N24" i="45"/>
  <c r="P23" i="45"/>
  <c r="O23" i="45"/>
  <c r="N23" i="45"/>
  <c r="P40" i="45" s="1"/>
  <c r="P22" i="45"/>
  <c r="O22" i="45"/>
  <c r="N22" i="45"/>
  <c r="P21" i="45"/>
  <c r="O21" i="45"/>
  <c r="N21" i="45"/>
  <c r="P20" i="45"/>
  <c r="O20" i="45"/>
  <c r="N20" i="45"/>
  <c r="D227" i="42"/>
  <c r="P136" i="44"/>
  <c r="O136" i="44"/>
  <c r="N136" i="44"/>
  <c r="P135" i="44"/>
  <c r="O135" i="44"/>
  <c r="N135" i="44"/>
  <c r="P134" i="44"/>
  <c r="O134" i="44"/>
  <c r="N134" i="44"/>
  <c r="P133" i="44"/>
  <c r="O133" i="44"/>
  <c r="N133" i="44"/>
  <c r="P132" i="44"/>
  <c r="O132" i="44"/>
  <c r="N132" i="44"/>
  <c r="P131" i="44"/>
  <c r="O131" i="44"/>
  <c r="N131" i="44"/>
  <c r="P130" i="44"/>
  <c r="O130" i="44"/>
  <c r="N130" i="44"/>
  <c r="P129" i="44"/>
  <c r="O129" i="44"/>
  <c r="N129" i="44"/>
  <c r="P144" i="44" s="1"/>
  <c r="Q144" i="44" s="1"/>
  <c r="P128" i="44"/>
  <c r="O128" i="44"/>
  <c r="N128" i="44"/>
  <c r="P127" i="44"/>
  <c r="O127" i="44"/>
  <c r="N127" i="44"/>
  <c r="P126" i="44"/>
  <c r="O126" i="44"/>
  <c r="N126" i="44"/>
  <c r="N91" i="44"/>
  <c r="P101" i="44"/>
  <c r="O101" i="44"/>
  <c r="N101" i="44"/>
  <c r="P100" i="44"/>
  <c r="O100" i="44"/>
  <c r="N100" i="44"/>
  <c r="P99" i="44"/>
  <c r="O99" i="44"/>
  <c r="N99" i="44"/>
  <c r="P98" i="44"/>
  <c r="O98" i="44"/>
  <c r="N98" i="44"/>
  <c r="P97" i="44"/>
  <c r="O97" i="44"/>
  <c r="N97" i="44"/>
  <c r="P96" i="44"/>
  <c r="O96" i="44"/>
  <c r="N96" i="44"/>
  <c r="P95" i="44"/>
  <c r="O95" i="44"/>
  <c r="N95" i="44"/>
  <c r="P94" i="44"/>
  <c r="O94" i="44"/>
  <c r="N94" i="44"/>
  <c r="P109" i="44" s="1"/>
  <c r="D163" i="44" s="1"/>
  <c r="D175" i="44" s="1"/>
  <c r="P93" i="44"/>
  <c r="O93" i="44"/>
  <c r="N93" i="44"/>
  <c r="P92" i="44"/>
  <c r="O92" i="44"/>
  <c r="N92" i="44"/>
  <c r="P91" i="44"/>
  <c r="O91" i="44"/>
  <c r="N59" i="44"/>
  <c r="P74" i="44" s="1"/>
  <c r="D162" i="44" s="1"/>
  <c r="D174" i="44" s="1"/>
  <c r="N56" i="44"/>
  <c r="P66" i="44"/>
  <c r="O66" i="44"/>
  <c r="N66" i="44"/>
  <c r="P65" i="44"/>
  <c r="O65" i="44"/>
  <c r="N65" i="44"/>
  <c r="P64" i="44"/>
  <c r="O64" i="44"/>
  <c r="N64" i="44"/>
  <c r="P63" i="44"/>
  <c r="O63" i="44"/>
  <c r="N63" i="44"/>
  <c r="P62" i="44"/>
  <c r="O62" i="44"/>
  <c r="N62" i="44"/>
  <c r="P61" i="44"/>
  <c r="O61" i="44"/>
  <c r="N61" i="44"/>
  <c r="P60" i="44"/>
  <c r="O60" i="44"/>
  <c r="N60" i="44"/>
  <c r="P59" i="44"/>
  <c r="O59" i="44"/>
  <c r="P58" i="44"/>
  <c r="O58" i="44"/>
  <c r="N58" i="44"/>
  <c r="P57" i="44"/>
  <c r="O57" i="44"/>
  <c r="N57" i="44"/>
  <c r="P56" i="44"/>
  <c r="O56" i="44"/>
  <c r="P24" i="44"/>
  <c r="O24" i="44"/>
  <c r="N31" i="44"/>
  <c r="N22" i="44"/>
  <c r="O22" i="44"/>
  <c r="P22" i="44"/>
  <c r="N23" i="44"/>
  <c r="O23" i="44"/>
  <c r="P23" i="44"/>
  <c r="N24" i="44"/>
  <c r="D161" i="44" s="1"/>
  <c r="D173" i="44" s="1"/>
  <c r="N25" i="44"/>
  <c r="O25" i="44"/>
  <c r="P25" i="44"/>
  <c r="N26" i="44"/>
  <c r="O26" i="44"/>
  <c r="P26" i="44"/>
  <c r="N27" i="44"/>
  <c r="O27" i="44"/>
  <c r="P27" i="44"/>
  <c r="N28" i="44"/>
  <c r="O28" i="44"/>
  <c r="P28" i="44"/>
  <c r="N29" i="44"/>
  <c r="O29" i="44"/>
  <c r="P29" i="44"/>
  <c r="N30" i="44"/>
  <c r="O30" i="44"/>
  <c r="P30" i="44"/>
  <c r="O31" i="44"/>
  <c r="P31" i="44"/>
  <c r="D38" i="44"/>
  <c r="E38" i="44"/>
  <c r="F38" i="44"/>
  <c r="G38" i="44"/>
  <c r="H38" i="44"/>
  <c r="I38" i="44"/>
  <c r="J38" i="44"/>
  <c r="K38" i="44"/>
  <c r="L38" i="44"/>
  <c r="M38" i="44"/>
  <c r="N38" i="44"/>
  <c r="O38" i="44"/>
  <c r="N21" i="44"/>
  <c r="P21" i="44"/>
  <c r="O21" i="44"/>
  <c r="O143" i="44"/>
  <c r="N143" i="44"/>
  <c r="M143" i="44"/>
  <c r="L143" i="44"/>
  <c r="K143" i="44"/>
  <c r="J143" i="44"/>
  <c r="I143" i="44"/>
  <c r="H143" i="44"/>
  <c r="G143" i="44"/>
  <c r="F143" i="44"/>
  <c r="E143" i="44"/>
  <c r="D143" i="44"/>
  <c r="O108" i="44"/>
  <c r="N108" i="44"/>
  <c r="M108" i="44"/>
  <c r="L108" i="44"/>
  <c r="K108" i="44"/>
  <c r="J108" i="44"/>
  <c r="I108" i="44"/>
  <c r="H108" i="44"/>
  <c r="G108" i="44"/>
  <c r="F108" i="44"/>
  <c r="E108" i="44"/>
  <c r="D108" i="44"/>
  <c r="O73" i="44"/>
  <c r="N73" i="44"/>
  <c r="M73" i="44"/>
  <c r="L73" i="44"/>
  <c r="K73" i="44"/>
  <c r="J73" i="44"/>
  <c r="I73" i="44"/>
  <c r="H73" i="44"/>
  <c r="G73" i="44"/>
  <c r="F73" i="44"/>
  <c r="E73" i="44"/>
  <c r="D73" i="44"/>
  <c r="B44" i="43"/>
  <c r="C44" i="43"/>
  <c r="D44" i="43"/>
  <c r="E44" i="43"/>
  <c r="F44" i="43"/>
  <c r="G44" i="43"/>
  <c r="H44" i="43"/>
  <c r="I44" i="43"/>
  <c r="J44" i="43"/>
  <c r="K44" i="43"/>
  <c r="L44" i="43"/>
  <c r="M44" i="43"/>
  <c r="B45" i="43"/>
  <c r="C45" i="43"/>
  <c r="D45" i="43"/>
  <c r="E45" i="43"/>
  <c r="F45" i="43"/>
  <c r="G45" i="43"/>
  <c r="H45" i="43"/>
  <c r="I45" i="43"/>
  <c r="J45" i="43"/>
  <c r="K45" i="43"/>
  <c r="L45" i="43"/>
  <c r="M45" i="43"/>
  <c r="B46" i="43"/>
  <c r="C46" i="43"/>
  <c r="D46" i="43"/>
  <c r="E46" i="43"/>
  <c r="F46" i="43"/>
  <c r="G46" i="43"/>
  <c r="H46" i="43"/>
  <c r="I46" i="43"/>
  <c r="J46" i="43"/>
  <c r="K46" i="43"/>
  <c r="L46" i="43"/>
  <c r="M46" i="43"/>
  <c r="C43" i="43"/>
  <c r="D43" i="43"/>
  <c r="E43" i="43"/>
  <c r="F43" i="43"/>
  <c r="G43" i="43"/>
  <c r="H43" i="43"/>
  <c r="I43" i="43"/>
  <c r="J43" i="43"/>
  <c r="K43" i="43"/>
  <c r="L43" i="43"/>
  <c r="M43" i="43"/>
  <c r="B43" i="43"/>
  <c r="F13" i="41"/>
  <c r="F14" i="41"/>
  <c r="F15" i="41"/>
  <c r="F16" i="41"/>
  <c r="F17" i="41"/>
  <c r="F12" i="41"/>
  <c r="D186" i="42"/>
  <c r="G190" i="42"/>
  <c r="G203" i="42" s="1"/>
  <c r="E189" i="42"/>
  <c r="E202" i="42" s="1"/>
  <c r="D199" i="42"/>
  <c r="E184" i="42"/>
  <c r="E197" i="42" s="1"/>
  <c r="F184" i="42"/>
  <c r="F197" i="42" s="1"/>
  <c r="G184" i="42"/>
  <c r="G197" i="42" s="1"/>
  <c r="H184" i="42"/>
  <c r="H197" i="42" s="1"/>
  <c r="I184" i="42"/>
  <c r="I197" i="42" s="1"/>
  <c r="J184" i="42"/>
  <c r="J197" i="42" s="1"/>
  <c r="K184" i="42"/>
  <c r="K197" i="42" s="1"/>
  <c r="L184" i="42"/>
  <c r="L197" i="42" s="1"/>
  <c r="M184" i="42"/>
  <c r="M197" i="42" s="1"/>
  <c r="E185" i="42"/>
  <c r="E198" i="42" s="1"/>
  <c r="F185" i="42"/>
  <c r="F198" i="42" s="1"/>
  <c r="G185" i="42"/>
  <c r="G198" i="42" s="1"/>
  <c r="H185" i="42"/>
  <c r="H198" i="42" s="1"/>
  <c r="I185" i="42"/>
  <c r="I198" i="42" s="1"/>
  <c r="J185" i="42"/>
  <c r="J198" i="42" s="1"/>
  <c r="K185" i="42"/>
  <c r="K198" i="42" s="1"/>
  <c r="L185" i="42"/>
  <c r="L198" i="42" s="1"/>
  <c r="M185" i="42"/>
  <c r="M198" i="42" s="1"/>
  <c r="E186" i="42"/>
  <c r="E199" i="42" s="1"/>
  <c r="F186" i="42"/>
  <c r="F199" i="42" s="1"/>
  <c r="G186" i="42"/>
  <c r="G199" i="42" s="1"/>
  <c r="H186" i="42"/>
  <c r="H199" i="42" s="1"/>
  <c r="I186" i="42"/>
  <c r="I199" i="42" s="1"/>
  <c r="J186" i="42"/>
  <c r="J199" i="42" s="1"/>
  <c r="K186" i="42"/>
  <c r="K199" i="42" s="1"/>
  <c r="L186" i="42"/>
  <c r="L199" i="42" s="1"/>
  <c r="M186" i="42"/>
  <c r="M199" i="42" s="1"/>
  <c r="E187" i="42"/>
  <c r="E200" i="42" s="1"/>
  <c r="F187" i="42"/>
  <c r="F200" i="42" s="1"/>
  <c r="G187" i="42"/>
  <c r="G200" i="42" s="1"/>
  <c r="H187" i="42"/>
  <c r="H200" i="42" s="1"/>
  <c r="I187" i="42"/>
  <c r="I200" i="42" s="1"/>
  <c r="J187" i="42"/>
  <c r="J200" i="42" s="1"/>
  <c r="K187" i="42"/>
  <c r="K200" i="42" s="1"/>
  <c r="L187" i="42"/>
  <c r="L200" i="42" s="1"/>
  <c r="M187" i="42"/>
  <c r="M200" i="42" s="1"/>
  <c r="E188" i="42"/>
  <c r="E201" i="42" s="1"/>
  <c r="F188" i="42"/>
  <c r="F201" i="42" s="1"/>
  <c r="G188" i="42"/>
  <c r="G201" i="42" s="1"/>
  <c r="H188" i="42"/>
  <c r="H201" i="42" s="1"/>
  <c r="I188" i="42"/>
  <c r="I201" i="42" s="1"/>
  <c r="J188" i="42"/>
  <c r="J201" i="42" s="1"/>
  <c r="K188" i="42"/>
  <c r="K201" i="42" s="1"/>
  <c r="L188" i="42"/>
  <c r="L201" i="42" s="1"/>
  <c r="M188" i="42"/>
  <c r="M201" i="42" s="1"/>
  <c r="F189" i="42"/>
  <c r="F202" i="42" s="1"/>
  <c r="G189" i="42"/>
  <c r="G202" i="42" s="1"/>
  <c r="H189" i="42"/>
  <c r="H202" i="42" s="1"/>
  <c r="I189" i="42"/>
  <c r="I202" i="42" s="1"/>
  <c r="J189" i="42"/>
  <c r="J202" i="42" s="1"/>
  <c r="K189" i="42"/>
  <c r="K202" i="42" s="1"/>
  <c r="L189" i="42"/>
  <c r="L202" i="42" s="1"/>
  <c r="M189" i="42"/>
  <c r="M202" i="42" s="1"/>
  <c r="E190" i="42"/>
  <c r="E203" i="42" s="1"/>
  <c r="F190" i="42"/>
  <c r="F203" i="42" s="1"/>
  <c r="H190" i="42"/>
  <c r="H203" i="42" s="1"/>
  <c r="I190" i="42"/>
  <c r="I203" i="42" s="1"/>
  <c r="J190" i="42"/>
  <c r="J203" i="42" s="1"/>
  <c r="K190" i="42"/>
  <c r="K203" i="42" s="1"/>
  <c r="L190" i="42"/>
  <c r="L203" i="42" s="1"/>
  <c r="M190" i="42"/>
  <c r="M203" i="42" s="1"/>
  <c r="E191" i="42"/>
  <c r="E204" i="42" s="1"/>
  <c r="F191" i="42"/>
  <c r="F204" i="42" s="1"/>
  <c r="G191" i="42"/>
  <c r="G204" i="42" s="1"/>
  <c r="H191" i="42"/>
  <c r="H204" i="42" s="1"/>
  <c r="I191" i="42"/>
  <c r="I204" i="42" s="1"/>
  <c r="J191" i="42"/>
  <c r="J204" i="42" s="1"/>
  <c r="K191" i="42"/>
  <c r="K204" i="42" s="1"/>
  <c r="L191" i="42"/>
  <c r="L204" i="42" s="1"/>
  <c r="M191" i="42"/>
  <c r="M204" i="42" s="1"/>
  <c r="E192" i="42"/>
  <c r="E205" i="42" s="1"/>
  <c r="F192" i="42"/>
  <c r="F205" i="42" s="1"/>
  <c r="G192" i="42"/>
  <c r="G205" i="42" s="1"/>
  <c r="H192" i="42"/>
  <c r="H205" i="42" s="1"/>
  <c r="I192" i="42"/>
  <c r="I205" i="42" s="1"/>
  <c r="J192" i="42"/>
  <c r="J205" i="42" s="1"/>
  <c r="K192" i="42"/>
  <c r="K205" i="42" s="1"/>
  <c r="L192" i="42"/>
  <c r="L205" i="42" s="1"/>
  <c r="M192" i="42"/>
  <c r="M205" i="42" s="1"/>
  <c r="E193" i="42"/>
  <c r="E206" i="42" s="1"/>
  <c r="F193" i="42"/>
  <c r="F206" i="42" s="1"/>
  <c r="G193" i="42"/>
  <c r="G206" i="42" s="1"/>
  <c r="H193" i="42"/>
  <c r="H206" i="42" s="1"/>
  <c r="I193" i="42"/>
  <c r="I206" i="42" s="1"/>
  <c r="J193" i="42"/>
  <c r="J206" i="42" s="1"/>
  <c r="K193" i="42"/>
  <c r="K206" i="42" s="1"/>
  <c r="L193" i="42"/>
  <c r="L206" i="42" s="1"/>
  <c r="M193" i="42"/>
  <c r="M206" i="42" s="1"/>
  <c r="E194" i="42"/>
  <c r="E207" i="42" s="1"/>
  <c r="F194" i="42"/>
  <c r="F207" i="42" s="1"/>
  <c r="G194" i="42"/>
  <c r="G207" i="42" s="1"/>
  <c r="H194" i="42"/>
  <c r="H207" i="42" s="1"/>
  <c r="I194" i="42"/>
  <c r="I207" i="42" s="1"/>
  <c r="J194" i="42"/>
  <c r="J207" i="42" s="1"/>
  <c r="K194" i="42"/>
  <c r="K207" i="42" s="1"/>
  <c r="L194" i="42"/>
  <c r="L207" i="42" s="1"/>
  <c r="M194" i="42"/>
  <c r="M207" i="42" s="1"/>
  <c r="D185" i="42"/>
  <c r="D198" i="42" s="1"/>
  <c r="D187" i="42"/>
  <c r="D200" i="42" s="1"/>
  <c r="D188" i="42"/>
  <c r="D201" i="42" s="1"/>
  <c r="D189" i="42"/>
  <c r="D202" i="42" s="1"/>
  <c r="D190" i="42"/>
  <c r="D203" i="42" s="1"/>
  <c r="D191" i="42"/>
  <c r="D204" i="42" s="1"/>
  <c r="D192" i="42"/>
  <c r="D205" i="42" s="1"/>
  <c r="D193" i="42"/>
  <c r="D206" i="42" s="1"/>
  <c r="D194" i="42"/>
  <c r="D207" i="42" s="1"/>
  <c r="D184" i="42"/>
  <c r="D197" i="42" s="1"/>
  <c r="E133" i="42"/>
  <c r="E146" i="42" s="1"/>
  <c r="F133" i="42"/>
  <c r="F146" i="42" s="1"/>
  <c r="G133" i="42"/>
  <c r="G146" i="42" s="1"/>
  <c r="H133" i="42"/>
  <c r="H146" i="42" s="1"/>
  <c r="I133" i="42"/>
  <c r="I146" i="42" s="1"/>
  <c r="J133" i="42"/>
  <c r="J146" i="42" s="1"/>
  <c r="K133" i="42"/>
  <c r="K146" i="42" s="1"/>
  <c r="L133" i="42"/>
  <c r="L146" i="42" s="1"/>
  <c r="M133" i="42"/>
  <c r="M146" i="42" s="1"/>
  <c r="E134" i="42"/>
  <c r="E147" i="42" s="1"/>
  <c r="F134" i="42"/>
  <c r="F147" i="42" s="1"/>
  <c r="G134" i="42"/>
  <c r="G147" i="42" s="1"/>
  <c r="H134" i="42"/>
  <c r="H147" i="42" s="1"/>
  <c r="I134" i="42"/>
  <c r="I147" i="42" s="1"/>
  <c r="J134" i="42"/>
  <c r="J147" i="42" s="1"/>
  <c r="K134" i="42"/>
  <c r="K147" i="42" s="1"/>
  <c r="L134" i="42"/>
  <c r="L147" i="42" s="1"/>
  <c r="M134" i="42"/>
  <c r="M147" i="42" s="1"/>
  <c r="E135" i="42"/>
  <c r="E148" i="42" s="1"/>
  <c r="F135" i="42"/>
  <c r="F148" i="42" s="1"/>
  <c r="G135" i="42"/>
  <c r="G148" i="42" s="1"/>
  <c r="H135" i="42"/>
  <c r="H148" i="42" s="1"/>
  <c r="I135" i="42"/>
  <c r="I148" i="42" s="1"/>
  <c r="J135" i="42"/>
  <c r="J148" i="42" s="1"/>
  <c r="K135" i="42"/>
  <c r="K148" i="42" s="1"/>
  <c r="L135" i="42"/>
  <c r="L148" i="42" s="1"/>
  <c r="M135" i="42"/>
  <c r="M148" i="42" s="1"/>
  <c r="E136" i="42"/>
  <c r="E149" i="42" s="1"/>
  <c r="F136" i="42"/>
  <c r="F149" i="42" s="1"/>
  <c r="G136" i="42"/>
  <c r="G149" i="42" s="1"/>
  <c r="H136" i="42"/>
  <c r="H149" i="42" s="1"/>
  <c r="I136" i="42"/>
  <c r="I149" i="42" s="1"/>
  <c r="J136" i="42"/>
  <c r="J149" i="42" s="1"/>
  <c r="K136" i="42"/>
  <c r="K149" i="42" s="1"/>
  <c r="L136" i="42"/>
  <c r="L149" i="42" s="1"/>
  <c r="M136" i="42"/>
  <c r="M149" i="42" s="1"/>
  <c r="E137" i="42"/>
  <c r="E150" i="42" s="1"/>
  <c r="F137" i="42"/>
  <c r="F150" i="42" s="1"/>
  <c r="G137" i="42"/>
  <c r="G150" i="42" s="1"/>
  <c r="H137" i="42"/>
  <c r="H150" i="42" s="1"/>
  <c r="I137" i="42"/>
  <c r="I150" i="42" s="1"/>
  <c r="J137" i="42"/>
  <c r="J150" i="42" s="1"/>
  <c r="K137" i="42"/>
  <c r="K150" i="42" s="1"/>
  <c r="L137" i="42"/>
  <c r="L150" i="42" s="1"/>
  <c r="M137" i="42"/>
  <c r="M150" i="42" s="1"/>
  <c r="E138" i="42"/>
  <c r="E151" i="42" s="1"/>
  <c r="F138" i="42"/>
  <c r="F151" i="42" s="1"/>
  <c r="G138" i="42"/>
  <c r="G151" i="42" s="1"/>
  <c r="H138" i="42"/>
  <c r="H151" i="42" s="1"/>
  <c r="I138" i="42"/>
  <c r="I151" i="42" s="1"/>
  <c r="J138" i="42"/>
  <c r="J151" i="42" s="1"/>
  <c r="K138" i="42"/>
  <c r="K151" i="42" s="1"/>
  <c r="L138" i="42"/>
  <c r="L151" i="42" s="1"/>
  <c r="M138" i="42"/>
  <c r="M151" i="42" s="1"/>
  <c r="E139" i="42"/>
  <c r="E152" i="42" s="1"/>
  <c r="F139" i="42"/>
  <c r="F152" i="42" s="1"/>
  <c r="G139" i="42"/>
  <c r="G152" i="42" s="1"/>
  <c r="H139" i="42"/>
  <c r="H152" i="42" s="1"/>
  <c r="I139" i="42"/>
  <c r="I152" i="42" s="1"/>
  <c r="J139" i="42"/>
  <c r="J152" i="42" s="1"/>
  <c r="K139" i="42"/>
  <c r="K152" i="42" s="1"/>
  <c r="L139" i="42"/>
  <c r="L152" i="42" s="1"/>
  <c r="M139" i="42"/>
  <c r="M152" i="42" s="1"/>
  <c r="E140" i="42"/>
  <c r="E153" i="42" s="1"/>
  <c r="F140" i="42"/>
  <c r="F153" i="42" s="1"/>
  <c r="G140" i="42"/>
  <c r="G153" i="42" s="1"/>
  <c r="H140" i="42"/>
  <c r="H153" i="42" s="1"/>
  <c r="I140" i="42"/>
  <c r="I153" i="42" s="1"/>
  <c r="J140" i="42"/>
  <c r="J153" i="42" s="1"/>
  <c r="K140" i="42"/>
  <c r="K153" i="42" s="1"/>
  <c r="L140" i="42"/>
  <c r="L153" i="42" s="1"/>
  <c r="M140" i="42"/>
  <c r="M153" i="42" s="1"/>
  <c r="E141" i="42"/>
  <c r="E154" i="42" s="1"/>
  <c r="F141" i="42"/>
  <c r="F154" i="42" s="1"/>
  <c r="G141" i="42"/>
  <c r="G154" i="42" s="1"/>
  <c r="H141" i="42"/>
  <c r="H154" i="42" s="1"/>
  <c r="I141" i="42"/>
  <c r="I154" i="42" s="1"/>
  <c r="J141" i="42"/>
  <c r="J154" i="42" s="1"/>
  <c r="K141" i="42"/>
  <c r="K154" i="42" s="1"/>
  <c r="L141" i="42"/>
  <c r="L154" i="42" s="1"/>
  <c r="M141" i="42"/>
  <c r="M154" i="42" s="1"/>
  <c r="E142" i="42"/>
  <c r="E155" i="42" s="1"/>
  <c r="F142" i="42"/>
  <c r="F155" i="42" s="1"/>
  <c r="G142" i="42"/>
  <c r="G155" i="42" s="1"/>
  <c r="H142" i="42"/>
  <c r="H155" i="42" s="1"/>
  <c r="I142" i="42"/>
  <c r="I155" i="42" s="1"/>
  <c r="J142" i="42"/>
  <c r="J155" i="42" s="1"/>
  <c r="K142" i="42"/>
  <c r="K155" i="42" s="1"/>
  <c r="L142" i="42"/>
  <c r="L155" i="42" s="1"/>
  <c r="M142" i="42"/>
  <c r="M155" i="42" s="1"/>
  <c r="E143" i="42"/>
  <c r="E156" i="42" s="1"/>
  <c r="F143" i="42"/>
  <c r="F156" i="42" s="1"/>
  <c r="G143" i="42"/>
  <c r="G156" i="42" s="1"/>
  <c r="H143" i="42"/>
  <c r="H156" i="42" s="1"/>
  <c r="I143" i="42"/>
  <c r="I156" i="42" s="1"/>
  <c r="J143" i="42"/>
  <c r="J156" i="42" s="1"/>
  <c r="K143" i="42"/>
  <c r="K156" i="42" s="1"/>
  <c r="L143" i="42"/>
  <c r="L156" i="42" s="1"/>
  <c r="M143" i="42"/>
  <c r="M156" i="42" s="1"/>
  <c r="D134" i="42"/>
  <c r="D147" i="42" s="1"/>
  <c r="D135" i="42"/>
  <c r="D148" i="42" s="1"/>
  <c r="D136" i="42"/>
  <c r="D149" i="42" s="1"/>
  <c r="D137" i="42"/>
  <c r="D150" i="42" s="1"/>
  <c r="D138" i="42"/>
  <c r="D151" i="42" s="1"/>
  <c r="D139" i="42"/>
  <c r="D152" i="42" s="1"/>
  <c r="D140" i="42"/>
  <c r="D153" i="42" s="1"/>
  <c r="D141" i="42"/>
  <c r="D154" i="42" s="1"/>
  <c r="D142" i="42"/>
  <c r="D155" i="42" s="1"/>
  <c r="D143" i="42"/>
  <c r="D156" i="42" s="1"/>
  <c r="D133" i="42"/>
  <c r="D146" i="42" s="1"/>
  <c r="I33" i="42"/>
  <c r="I46" i="42" s="1"/>
  <c r="E82" i="42"/>
  <c r="E95" i="42" s="1"/>
  <c r="F82" i="42"/>
  <c r="F95" i="42" s="1"/>
  <c r="G82" i="42"/>
  <c r="G95" i="42" s="1"/>
  <c r="H82" i="42"/>
  <c r="H95" i="42" s="1"/>
  <c r="I82" i="42"/>
  <c r="I95" i="42" s="1"/>
  <c r="J82" i="42"/>
  <c r="J95" i="42" s="1"/>
  <c r="K82" i="42"/>
  <c r="K95" i="42" s="1"/>
  <c r="L82" i="42"/>
  <c r="L95" i="42" s="1"/>
  <c r="M82" i="42"/>
  <c r="M95" i="42" s="1"/>
  <c r="E83" i="42"/>
  <c r="E96" i="42" s="1"/>
  <c r="F83" i="42"/>
  <c r="F96" i="42" s="1"/>
  <c r="G83" i="42"/>
  <c r="G96" i="42" s="1"/>
  <c r="H83" i="42"/>
  <c r="H96" i="42" s="1"/>
  <c r="I83" i="42"/>
  <c r="I96" i="42" s="1"/>
  <c r="J83" i="42"/>
  <c r="J96" i="42" s="1"/>
  <c r="K83" i="42"/>
  <c r="K96" i="42" s="1"/>
  <c r="L83" i="42"/>
  <c r="L96" i="42" s="1"/>
  <c r="M83" i="42"/>
  <c r="M96" i="42" s="1"/>
  <c r="E84" i="42"/>
  <c r="E97" i="42" s="1"/>
  <c r="F84" i="42"/>
  <c r="F97" i="42" s="1"/>
  <c r="G84" i="42"/>
  <c r="G97" i="42" s="1"/>
  <c r="H84" i="42"/>
  <c r="H97" i="42" s="1"/>
  <c r="I84" i="42"/>
  <c r="I97" i="42" s="1"/>
  <c r="J84" i="42"/>
  <c r="J97" i="42" s="1"/>
  <c r="K84" i="42"/>
  <c r="K97" i="42" s="1"/>
  <c r="L84" i="42"/>
  <c r="L97" i="42" s="1"/>
  <c r="M84" i="42"/>
  <c r="M97" i="42" s="1"/>
  <c r="E85" i="42"/>
  <c r="E98" i="42" s="1"/>
  <c r="F85" i="42"/>
  <c r="F98" i="42" s="1"/>
  <c r="G85" i="42"/>
  <c r="G98" i="42" s="1"/>
  <c r="H85" i="42"/>
  <c r="H98" i="42" s="1"/>
  <c r="I85" i="42"/>
  <c r="I98" i="42" s="1"/>
  <c r="J85" i="42"/>
  <c r="J98" i="42" s="1"/>
  <c r="K85" i="42"/>
  <c r="K98" i="42" s="1"/>
  <c r="L85" i="42"/>
  <c r="L98" i="42" s="1"/>
  <c r="M85" i="42"/>
  <c r="M98" i="42" s="1"/>
  <c r="E86" i="42"/>
  <c r="E99" i="42" s="1"/>
  <c r="F86" i="42"/>
  <c r="F99" i="42" s="1"/>
  <c r="G86" i="42"/>
  <c r="G99" i="42" s="1"/>
  <c r="H86" i="42"/>
  <c r="H99" i="42" s="1"/>
  <c r="I86" i="42"/>
  <c r="I99" i="42" s="1"/>
  <c r="J86" i="42"/>
  <c r="J99" i="42" s="1"/>
  <c r="K86" i="42"/>
  <c r="K99" i="42" s="1"/>
  <c r="L86" i="42"/>
  <c r="L99" i="42" s="1"/>
  <c r="M86" i="42"/>
  <c r="M99" i="42" s="1"/>
  <c r="E87" i="42"/>
  <c r="E100" i="42" s="1"/>
  <c r="F87" i="42"/>
  <c r="F100" i="42" s="1"/>
  <c r="G87" i="42"/>
  <c r="G100" i="42" s="1"/>
  <c r="H87" i="42"/>
  <c r="H100" i="42" s="1"/>
  <c r="I87" i="42"/>
  <c r="I100" i="42" s="1"/>
  <c r="J87" i="42"/>
  <c r="J100" i="42" s="1"/>
  <c r="K87" i="42"/>
  <c r="K100" i="42" s="1"/>
  <c r="L87" i="42"/>
  <c r="L100" i="42" s="1"/>
  <c r="M87" i="42"/>
  <c r="M100" i="42" s="1"/>
  <c r="E88" i="42"/>
  <c r="E101" i="42" s="1"/>
  <c r="F88" i="42"/>
  <c r="F101" i="42" s="1"/>
  <c r="G88" i="42"/>
  <c r="G101" i="42" s="1"/>
  <c r="H88" i="42"/>
  <c r="H101" i="42" s="1"/>
  <c r="I88" i="42"/>
  <c r="I101" i="42" s="1"/>
  <c r="J88" i="42"/>
  <c r="J101" i="42" s="1"/>
  <c r="K88" i="42"/>
  <c r="K101" i="42" s="1"/>
  <c r="L88" i="42"/>
  <c r="L101" i="42" s="1"/>
  <c r="M88" i="42"/>
  <c r="M101" i="42" s="1"/>
  <c r="E89" i="42"/>
  <c r="E102" i="42" s="1"/>
  <c r="F89" i="42"/>
  <c r="F102" i="42" s="1"/>
  <c r="G89" i="42"/>
  <c r="G102" i="42" s="1"/>
  <c r="H89" i="42"/>
  <c r="H102" i="42" s="1"/>
  <c r="I89" i="42"/>
  <c r="I102" i="42" s="1"/>
  <c r="J89" i="42"/>
  <c r="J102" i="42" s="1"/>
  <c r="K89" i="42"/>
  <c r="K102" i="42" s="1"/>
  <c r="L89" i="42"/>
  <c r="L102" i="42" s="1"/>
  <c r="M89" i="42"/>
  <c r="M102" i="42" s="1"/>
  <c r="E90" i="42"/>
  <c r="E103" i="42" s="1"/>
  <c r="F90" i="42"/>
  <c r="F103" i="42" s="1"/>
  <c r="G90" i="42"/>
  <c r="G103" i="42" s="1"/>
  <c r="H90" i="42"/>
  <c r="H103" i="42" s="1"/>
  <c r="I90" i="42"/>
  <c r="I103" i="42" s="1"/>
  <c r="J90" i="42"/>
  <c r="J103" i="42" s="1"/>
  <c r="K90" i="42"/>
  <c r="K103" i="42" s="1"/>
  <c r="L90" i="42"/>
  <c r="L103" i="42" s="1"/>
  <c r="M90" i="42"/>
  <c r="M103" i="42" s="1"/>
  <c r="E91" i="42"/>
  <c r="E104" i="42" s="1"/>
  <c r="F91" i="42"/>
  <c r="F104" i="42" s="1"/>
  <c r="G91" i="42"/>
  <c r="G104" i="42" s="1"/>
  <c r="H91" i="42"/>
  <c r="H104" i="42" s="1"/>
  <c r="I91" i="42"/>
  <c r="I104" i="42" s="1"/>
  <c r="J91" i="42"/>
  <c r="J104" i="42" s="1"/>
  <c r="K91" i="42"/>
  <c r="K104" i="42" s="1"/>
  <c r="L91" i="42"/>
  <c r="L104" i="42" s="1"/>
  <c r="M91" i="42"/>
  <c r="M104" i="42" s="1"/>
  <c r="E92" i="42"/>
  <c r="E105" i="42" s="1"/>
  <c r="F92" i="42"/>
  <c r="F105" i="42" s="1"/>
  <c r="G92" i="42"/>
  <c r="G105" i="42" s="1"/>
  <c r="H92" i="42"/>
  <c r="H105" i="42" s="1"/>
  <c r="I92" i="42"/>
  <c r="I105" i="42" s="1"/>
  <c r="J92" i="42"/>
  <c r="J105" i="42" s="1"/>
  <c r="K92" i="42"/>
  <c r="K105" i="42" s="1"/>
  <c r="L92" i="42"/>
  <c r="L105" i="42" s="1"/>
  <c r="M92" i="42"/>
  <c r="M105" i="42" s="1"/>
  <c r="D83" i="42"/>
  <c r="D96" i="42" s="1"/>
  <c r="D84" i="42"/>
  <c r="D97" i="42" s="1"/>
  <c r="D85" i="42"/>
  <c r="D98" i="42" s="1"/>
  <c r="D86" i="42"/>
  <c r="D99" i="42" s="1"/>
  <c r="D87" i="42"/>
  <c r="D100" i="42" s="1"/>
  <c r="D88" i="42"/>
  <c r="D101" i="42" s="1"/>
  <c r="D89" i="42"/>
  <c r="D102" i="42" s="1"/>
  <c r="D90" i="42"/>
  <c r="D103" i="42" s="1"/>
  <c r="D91" i="42"/>
  <c r="D104" i="42" s="1"/>
  <c r="D92" i="42"/>
  <c r="D105" i="42" s="1"/>
  <c r="D82" i="42"/>
  <c r="D95" i="42" s="1"/>
  <c r="E31" i="42"/>
  <c r="E44" i="42" s="1"/>
  <c r="F31" i="42"/>
  <c r="F44" i="42" s="1"/>
  <c r="G31" i="42"/>
  <c r="G44" i="42" s="1"/>
  <c r="H31" i="42"/>
  <c r="H44" i="42" s="1"/>
  <c r="I31" i="42"/>
  <c r="I44" i="42" s="1"/>
  <c r="J31" i="42"/>
  <c r="J44" i="42" s="1"/>
  <c r="K31" i="42"/>
  <c r="K44" i="42" s="1"/>
  <c r="L31" i="42"/>
  <c r="L44" i="42" s="1"/>
  <c r="M31" i="42"/>
  <c r="M44" i="42" s="1"/>
  <c r="E32" i="42"/>
  <c r="E45" i="42" s="1"/>
  <c r="F32" i="42"/>
  <c r="F45" i="42" s="1"/>
  <c r="G32" i="42"/>
  <c r="G45" i="42" s="1"/>
  <c r="H32" i="42"/>
  <c r="H45" i="42" s="1"/>
  <c r="I32" i="42"/>
  <c r="I45" i="42" s="1"/>
  <c r="J32" i="42"/>
  <c r="J45" i="42" s="1"/>
  <c r="K32" i="42"/>
  <c r="K45" i="42" s="1"/>
  <c r="L32" i="42"/>
  <c r="L45" i="42" s="1"/>
  <c r="M32" i="42"/>
  <c r="M45" i="42" s="1"/>
  <c r="E33" i="42"/>
  <c r="E46" i="42" s="1"/>
  <c r="F33" i="42"/>
  <c r="F46" i="42" s="1"/>
  <c r="G33" i="42"/>
  <c r="G46" i="42" s="1"/>
  <c r="H33" i="42"/>
  <c r="H46" i="42" s="1"/>
  <c r="J33" i="42"/>
  <c r="J46" i="42" s="1"/>
  <c r="K33" i="42"/>
  <c r="K46" i="42" s="1"/>
  <c r="L33" i="42"/>
  <c r="L46" i="42" s="1"/>
  <c r="M33" i="42"/>
  <c r="M46" i="42" s="1"/>
  <c r="E34" i="42"/>
  <c r="E47" i="42" s="1"/>
  <c r="F34" i="42"/>
  <c r="F47" i="42" s="1"/>
  <c r="G34" i="42"/>
  <c r="G47" i="42" s="1"/>
  <c r="H34" i="42"/>
  <c r="H47" i="42" s="1"/>
  <c r="I34" i="42"/>
  <c r="I47" i="42" s="1"/>
  <c r="J34" i="42"/>
  <c r="J47" i="42" s="1"/>
  <c r="K34" i="42"/>
  <c r="K47" i="42" s="1"/>
  <c r="L34" i="42"/>
  <c r="L47" i="42" s="1"/>
  <c r="M34" i="42"/>
  <c r="M47" i="42" s="1"/>
  <c r="E35" i="42"/>
  <c r="E48" i="42" s="1"/>
  <c r="F35" i="42"/>
  <c r="F48" i="42" s="1"/>
  <c r="G35" i="42"/>
  <c r="G48" i="42" s="1"/>
  <c r="H35" i="42"/>
  <c r="H48" i="42" s="1"/>
  <c r="I35" i="42"/>
  <c r="I48" i="42" s="1"/>
  <c r="J35" i="42"/>
  <c r="J48" i="42" s="1"/>
  <c r="K35" i="42"/>
  <c r="K48" i="42" s="1"/>
  <c r="L35" i="42"/>
  <c r="L48" i="42" s="1"/>
  <c r="M35" i="42"/>
  <c r="M48" i="42" s="1"/>
  <c r="E36" i="42"/>
  <c r="E49" i="42" s="1"/>
  <c r="F36" i="42"/>
  <c r="F49" i="42" s="1"/>
  <c r="G36" i="42"/>
  <c r="G49" i="42" s="1"/>
  <c r="H36" i="42"/>
  <c r="H49" i="42" s="1"/>
  <c r="I36" i="42"/>
  <c r="I49" i="42" s="1"/>
  <c r="J36" i="42"/>
  <c r="J49" i="42" s="1"/>
  <c r="K36" i="42"/>
  <c r="K49" i="42" s="1"/>
  <c r="L36" i="42"/>
  <c r="L49" i="42" s="1"/>
  <c r="M36" i="42"/>
  <c r="M49" i="42" s="1"/>
  <c r="E37" i="42"/>
  <c r="E50" i="42" s="1"/>
  <c r="F37" i="42"/>
  <c r="F50" i="42" s="1"/>
  <c r="G37" i="42"/>
  <c r="G50" i="42" s="1"/>
  <c r="H37" i="42"/>
  <c r="H50" i="42" s="1"/>
  <c r="I37" i="42"/>
  <c r="I50" i="42" s="1"/>
  <c r="J37" i="42"/>
  <c r="J50" i="42" s="1"/>
  <c r="K37" i="42"/>
  <c r="K50" i="42" s="1"/>
  <c r="L37" i="42"/>
  <c r="L50" i="42" s="1"/>
  <c r="M37" i="42"/>
  <c r="M50" i="42" s="1"/>
  <c r="E38" i="42"/>
  <c r="E51" i="42" s="1"/>
  <c r="F38" i="42"/>
  <c r="F51" i="42" s="1"/>
  <c r="G38" i="42"/>
  <c r="G51" i="42" s="1"/>
  <c r="H38" i="42"/>
  <c r="H51" i="42" s="1"/>
  <c r="I38" i="42"/>
  <c r="I51" i="42" s="1"/>
  <c r="J38" i="42"/>
  <c r="J51" i="42" s="1"/>
  <c r="K38" i="42"/>
  <c r="K51" i="42" s="1"/>
  <c r="L38" i="42"/>
  <c r="L51" i="42" s="1"/>
  <c r="M38" i="42"/>
  <c r="M51" i="42" s="1"/>
  <c r="E39" i="42"/>
  <c r="E52" i="42" s="1"/>
  <c r="F39" i="42"/>
  <c r="F52" i="42" s="1"/>
  <c r="G39" i="42"/>
  <c r="G52" i="42" s="1"/>
  <c r="H39" i="42"/>
  <c r="H52" i="42" s="1"/>
  <c r="I39" i="42"/>
  <c r="I52" i="42" s="1"/>
  <c r="J39" i="42"/>
  <c r="J52" i="42" s="1"/>
  <c r="K39" i="42"/>
  <c r="K52" i="42" s="1"/>
  <c r="L39" i="42"/>
  <c r="L52" i="42" s="1"/>
  <c r="M39" i="42"/>
  <c r="M52" i="42" s="1"/>
  <c r="E40" i="42"/>
  <c r="E53" i="42" s="1"/>
  <c r="E215" i="42" s="1"/>
  <c r="E227" i="42" s="1"/>
  <c r="F40" i="42"/>
  <c r="F53" i="42" s="1"/>
  <c r="F215" i="42" s="1"/>
  <c r="F227" i="42" s="1"/>
  <c r="G40" i="42"/>
  <c r="G53" i="42" s="1"/>
  <c r="H40" i="42"/>
  <c r="H53" i="42" s="1"/>
  <c r="I40" i="42"/>
  <c r="I53" i="42" s="1"/>
  <c r="J40" i="42"/>
  <c r="J53" i="42" s="1"/>
  <c r="K40" i="42"/>
  <c r="K53" i="42" s="1"/>
  <c r="L40" i="42"/>
  <c r="L53" i="42" s="1"/>
  <c r="M40" i="42"/>
  <c r="M53" i="42" s="1"/>
  <c r="E41" i="42"/>
  <c r="E54" i="42" s="1"/>
  <c r="F41" i="42"/>
  <c r="F54" i="42" s="1"/>
  <c r="G41" i="42"/>
  <c r="G54" i="42" s="1"/>
  <c r="H41" i="42"/>
  <c r="H54" i="42" s="1"/>
  <c r="I41" i="42"/>
  <c r="I54" i="42" s="1"/>
  <c r="J41" i="42"/>
  <c r="J54" i="42" s="1"/>
  <c r="K41" i="42"/>
  <c r="K54" i="42" s="1"/>
  <c r="L41" i="42"/>
  <c r="L54" i="42" s="1"/>
  <c r="M41" i="42"/>
  <c r="M54" i="42" s="1"/>
  <c r="D32" i="42"/>
  <c r="D45" i="42" s="1"/>
  <c r="D33" i="42"/>
  <c r="D46" i="42" s="1"/>
  <c r="D34" i="42"/>
  <c r="D47" i="42" s="1"/>
  <c r="D35" i="42"/>
  <c r="D48" i="42" s="1"/>
  <c r="D36" i="42"/>
  <c r="D49" i="42" s="1"/>
  <c r="D37" i="42"/>
  <c r="D50" i="42" s="1"/>
  <c r="D38" i="42"/>
  <c r="D51" i="42" s="1"/>
  <c r="D39" i="42"/>
  <c r="D52" i="42" s="1"/>
  <c r="D40" i="42"/>
  <c r="D53" i="42" s="1"/>
  <c r="D41" i="42"/>
  <c r="D54" i="42" s="1"/>
  <c r="D31" i="42"/>
  <c r="D44" i="42" s="1"/>
  <c r="C55" i="30"/>
  <c r="D73" i="30"/>
  <c r="E73" i="30"/>
  <c r="F73" i="30"/>
  <c r="G73" i="30"/>
  <c r="H73" i="30"/>
  <c r="J13" i="29" s="1"/>
  <c r="I73" i="30"/>
  <c r="J73" i="30"/>
  <c r="K73" i="30"/>
  <c r="L73" i="30"/>
  <c r="M73" i="30"/>
  <c r="N73" i="30"/>
  <c r="D74" i="30"/>
  <c r="E74" i="30"/>
  <c r="F74" i="30"/>
  <c r="G74" i="30"/>
  <c r="H74" i="30"/>
  <c r="I74" i="30"/>
  <c r="J74" i="30"/>
  <c r="K74" i="30"/>
  <c r="L74" i="30"/>
  <c r="M74" i="30"/>
  <c r="N74" i="30"/>
  <c r="D75" i="30"/>
  <c r="E75" i="30"/>
  <c r="F75" i="30"/>
  <c r="G75" i="30"/>
  <c r="H75" i="30"/>
  <c r="I75" i="30"/>
  <c r="J75" i="30"/>
  <c r="K75" i="30"/>
  <c r="L75" i="30"/>
  <c r="M75" i="30"/>
  <c r="N75" i="30"/>
  <c r="D76" i="30"/>
  <c r="E76" i="30"/>
  <c r="F76" i="30"/>
  <c r="G76" i="30"/>
  <c r="H76" i="30"/>
  <c r="I76" i="30"/>
  <c r="J76" i="30"/>
  <c r="K76" i="30"/>
  <c r="L76" i="30"/>
  <c r="M76" i="30"/>
  <c r="N76" i="30"/>
  <c r="C76" i="30"/>
  <c r="C74" i="30"/>
  <c r="C75" i="30"/>
  <c r="C73" i="30"/>
  <c r="E13" i="29" s="1"/>
  <c r="D55" i="30"/>
  <c r="E55" i="30"/>
  <c r="F55" i="30"/>
  <c r="G55" i="30"/>
  <c r="H55" i="30"/>
  <c r="J12" i="29" s="1"/>
  <c r="I55" i="30"/>
  <c r="J55" i="30"/>
  <c r="K55" i="30"/>
  <c r="L55" i="30"/>
  <c r="M55" i="30"/>
  <c r="N55" i="30"/>
  <c r="D56" i="30"/>
  <c r="E56" i="30"/>
  <c r="F56" i="30"/>
  <c r="G56" i="30"/>
  <c r="H56" i="30"/>
  <c r="I56" i="30"/>
  <c r="J56" i="30"/>
  <c r="K56" i="30"/>
  <c r="L56" i="30"/>
  <c r="M56" i="30"/>
  <c r="N56" i="30"/>
  <c r="D57" i="30"/>
  <c r="E57" i="30"/>
  <c r="F57" i="30"/>
  <c r="G57" i="30"/>
  <c r="H57" i="30"/>
  <c r="I57" i="30"/>
  <c r="J57" i="30"/>
  <c r="K57" i="30"/>
  <c r="L57" i="30"/>
  <c r="M57" i="30"/>
  <c r="N57" i="30"/>
  <c r="D58" i="30"/>
  <c r="E58" i="30"/>
  <c r="F58" i="30"/>
  <c r="G58" i="30"/>
  <c r="H58" i="30"/>
  <c r="I58" i="30"/>
  <c r="J58" i="30"/>
  <c r="K58" i="30"/>
  <c r="L58" i="30"/>
  <c r="M58" i="30"/>
  <c r="N58" i="30"/>
  <c r="C56" i="30"/>
  <c r="C57" i="30"/>
  <c r="C58" i="30"/>
  <c r="D37" i="30"/>
  <c r="F11" i="29" s="1"/>
  <c r="E37" i="30"/>
  <c r="F37" i="30"/>
  <c r="G37" i="30"/>
  <c r="H37" i="30"/>
  <c r="I37" i="30"/>
  <c r="K11" i="29" s="1"/>
  <c r="J37" i="30"/>
  <c r="K37" i="30"/>
  <c r="L37" i="30"/>
  <c r="M37" i="30"/>
  <c r="N37" i="30"/>
  <c r="D38" i="30"/>
  <c r="E38" i="30"/>
  <c r="F38" i="30"/>
  <c r="G38" i="30"/>
  <c r="H38" i="30"/>
  <c r="I38" i="30"/>
  <c r="J38" i="30"/>
  <c r="K38" i="30"/>
  <c r="L38" i="30"/>
  <c r="M38" i="30"/>
  <c r="N38" i="30"/>
  <c r="D39" i="30"/>
  <c r="E39" i="30"/>
  <c r="F39" i="30"/>
  <c r="G39" i="30"/>
  <c r="H39" i="30"/>
  <c r="I39" i="30"/>
  <c r="J39" i="30"/>
  <c r="K39" i="30"/>
  <c r="L39" i="30"/>
  <c r="M39" i="30"/>
  <c r="N39" i="30"/>
  <c r="D40" i="30"/>
  <c r="E40" i="30"/>
  <c r="F40" i="30"/>
  <c r="G40" i="30"/>
  <c r="H40" i="30"/>
  <c r="I40" i="30"/>
  <c r="J40" i="30"/>
  <c r="K40" i="30"/>
  <c r="L40" i="30"/>
  <c r="M40" i="30"/>
  <c r="N40" i="30"/>
  <c r="C38" i="30"/>
  <c r="C39" i="30"/>
  <c r="C40" i="30"/>
  <c r="C37" i="30"/>
  <c r="E20" i="30"/>
  <c r="D19" i="30"/>
  <c r="E19" i="30"/>
  <c r="F19" i="30"/>
  <c r="G19" i="30"/>
  <c r="H19" i="30"/>
  <c r="J10" i="29" s="1"/>
  <c r="I19" i="30"/>
  <c r="J19" i="30"/>
  <c r="K19" i="30"/>
  <c r="L19" i="30"/>
  <c r="M19" i="30"/>
  <c r="N19" i="30"/>
  <c r="D20" i="30"/>
  <c r="F20" i="30"/>
  <c r="G20" i="30"/>
  <c r="H20" i="30"/>
  <c r="I20" i="30"/>
  <c r="J20" i="30"/>
  <c r="K20" i="30"/>
  <c r="L20" i="30"/>
  <c r="M20" i="30"/>
  <c r="N20" i="30"/>
  <c r="D21" i="30"/>
  <c r="E21" i="30"/>
  <c r="F21" i="30"/>
  <c r="G21" i="30"/>
  <c r="H21" i="30"/>
  <c r="I21" i="30"/>
  <c r="J21" i="30"/>
  <c r="K21" i="30"/>
  <c r="L21" i="30"/>
  <c r="M21" i="30"/>
  <c r="N21" i="30"/>
  <c r="D22" i="30"/>
  <c r="E22" i="30"/>
  <c r="F22" i="30"/>
  <c r="G22" i="30"/>
  <c r="H22" i="30"/>
  <c r="I22" i="30"/>
  <c r="J22" i="30"/>
  <c r="K22" i="30"/>
  <c r="L22" i="30"/>
  <c r="M22" i="30"/>
  <c r="N22" i="30"/>
  <c r="C21" i="30"/>
  <c r="C22" i="30"/>
  <c r="C19" i="30"/>
  <c r="C20" i="30"/>
  <c r="N26" i="29" l="1"/>
  <c r="J26" i="29"/>
  <c r="J36" i="29" s="1"/>
  <c r="J66" i="29" s="1"/>
  <c r="F26" i="29"/>
  <c r="F38" i="29" s="1"/>
  <c r="F68" i="29" s="1"/>
  <c r="R88" i="29" s="1"/>
  <c r="O27" i="29"/>
  <c r="K27" i="29"/>
  <c r="K37" i="29" s="1"/>
  <c r="K67" i="29" s="1"/>
  <c r="G27" i="29"/>
  <c r="K26" i="29"/>
  <c r="K38" i="29" s="1"/>
  <c r="K68" i="29" s="1"/>
  <c r="O26" i="29"/>
  <c r="G26" i="29"/>
  <c r="J42" i="29"/>
  <c r="J72" i="29" s="1"/>
  <c r="M26" i="29"/>
  <c r="E26" i="29"/>
  <c r="E42" i="29" s="1"/>
  <c r="E72" i="29" s="1"/>
  <c r="V87" i="29" s="1"/>
  <c r="I26" i="29"/>
  <c r="M27" i="29"/>
  <c r="E27" i="29"/>
  <c r="E41" i="29" s="1"/>
  <c r="E71" i="29" s="1"/>
  <c r="K87" i="29" s="1"/>
  <c r="I27" i="29"/>
  <c r="F27" i="29"/>
  <c r="J27" i="29"/>
  <c r="J41" i="29" s="1"/>
  <c r="J71" i="29" s="1"/>
  <c r="N27" i="29"/>
  <c r="J40" i="29"/>
  <c r="J70" i="29" s="1"/>
  <c r="AG79" i="47"/>
  <c r="AG80" i="47" s="1"/>
  <c r="AF80" i="47"/>
  <c r="L10" i="29"/>
  <c r="L36" i="29" s="1"/>
  <c r="L66" i="29" s="1"/>
  <c r="M11" i="29"/>
  <c r="L12" i="29"/>
  <c r="L13" i="29"/>
  <c r="L42" i="29" s="1"/>
  <c r="L72" i="29" s="1"/>
  <c r="M10" i="29"/>
  <c r="N11" i="29"/>
  <c r="N38" i="29" s="1"/>
  <c r="N68" i="29" s="1"/>
  <c r="S88" i="29" s="1"/>
  <c r="M12" i="29"/>
  <c r="M13" i="29"/>
  <c r="K10" i="29"/>
  <c r="L11" i="29"/>
  <c r="L38" i="29" s="1"/>
  <c r="L68" i="29" s="1"/>
  <c r="K12" i="29"/>
  <c r="K13" i="29"/>
  <c r="I10" i="29"/>
  <c r="I36" i="29" s="1"/>
  <c r="I66" i="29" s="1"/>
  <c r="J11" i="29"/>
  <c r="I12" i="29"/>
  <c r="I13" i="29"/>
  <c r="I42" i="29" s="1"/>
  <c r="I72" i="29" s="1"/>
  <c r="I11" i="29"/>
  <c r="I38" i="29" s="1"/>
  <c r="I68" i="29" s="1"/>
  <c r="H12" i="29"/>
  <c r="H13" i="29"/>
  <c r="H42" i="29" s="1"/>
  <c r="H72" i="29" s="1"/>
  <c r="V90" i="29" s="1"/>
  <c r="H10" i="29"/>
  <c r="H36" i="29" s="1"/>
  <c r="H66" i="29" s="1"/>
  <c r="P90" i="29" s="1"/>
  <c r="G10" i="29"/>
  <c r="H11" i="29"/>
  <c r="H38" i="29" s="1"/>
  <c r="H68" i="29" s="1"/>
  <c r="R90" i="29" s="1"/>
  <c r="G12" i="29"/>
  <c r="G13" i="29"/>
  <c r="F10" i="29"/>
  <c r="G11" i="29"/>
  <c r="F12" i="29"/>
  <c r="F13" i="29"/>
  <c r="E12" i="29"/>
  <c r="P10" i="29"/>
  <c r="P36" i="29" s="1"/>
  <c r="P66" i="29" s="1"/>
  <c r="Q90" i="29" s="1"/>
  <c r="E11" i="29"/>
  <c r="P12" i="29"/>
  <c r="P13" i="29"/>
  <c r="P42" i="29" s="1"/>
  <c r="P72" i="29" s="1"/>
  <c r="W90" i="29" s="1"/>
  <c r="E10" i="29"/>
  <c r="O10" i="29"/>
  <c r="P11" i="29"/>
  <c r="P38" i="29" s="1"/>
  <c r="P68" i="29" s="1"/>
  <c r="S90" i="29" s="1"/>
  <c r="O12" i="29"/>
  <c r="O13" i="29"/>
  <c r="N10" i="29"/>
  <c r="N36" i="29" s="1"/>
  <c r="N66" i="29" s="1"/>
  <c r="Q88" i="29" s="1"/>
  <c r="O11" i="29"/>
  <c r="N12" i="29"/>
  <c r="N13" i="29"/>
  <c r="N42" i="29" s="1"/>
  <c r="N72" i="29" s="1"/>
  <c r="W88" i="29" s="1"/>
  <c r="F37" i="29"/>
  <c r="F67" i="29" s="1"/>
  <c r="G88" i="29" s="1"/>
  <c r="J35" i="29"/>
  <c r="J65" i="29" s="1"/>
  <c r="E81" i="47"/>
  <c r="E82" i="47" s="1"/>
  <c r="E86" i="47"/>
  <c r="E87" i="47" s="1"/>
  <c r="E71" i="47"/>
  <c r="E72" i="47" s="1"/>
  <c r="K76" i="47"/>
  <c r="W76" i="47"/>
  <c r="E76" i="47"/>
  <c r="E77" i="47" s="1"/>
  <c r="J76" i="47"/>
  <c r="L76" i="47"/>
  <c r="X76" i="47"/>
  <c r="M76" i="47"/>
  <c r="Y76" i="47"/>
  <c r="N76" i="47"/>
  <c r="Z76" i="47"/>
  <c r="O76" i="47"/>
  <c r="AA76" i="47"/>
  <c r="P76" i="47"/>
  <c r="AB76" i="47"/>
  <c r="AG76" i="47"/>
  <c r="Q76" i="47"/>
  <c r="AC76" i="47"/>
  <c r="F76" i="47"/>
  <c r="R76" i="47"/>
  <c r="AD76" i="47"/>
  <c r="I76" i="47"/>
  <c r="AH76" i="47"/>
  <c r="G76" i="47"/>
  <c r="S76" i="47"/>
  <c r="AE76" i="47"/>
  <c r="H76" i="47"/>
  <c r="T76" i="47"/>
  <c r="AF76" i="47"/>
  <c r="U76" i="47"/>
  <c r="V76" i="47"/>
  <c r="Q81" i="47"/>
  <c r="AC81" i="47"/>
  <c r="F81" i="47"/>
  <c r="R81" i="47"/>
  <c r="AD81" i="47"/>
  <c r="G81" i="47"/>
  <c r="S81" i="47"/>
  <c r="AE81" i="47"/>
  <c r="H81" i="47"/>
  <c r="T81" i="47"/>
  <c r="AF81" i="47"/>
  <c r="I81" i="47"/>
  <c r="U81" i="47"/>
  <c r="AG81" i="47"/>
  <c r="J81" i="47"/>
  <c r="V81" i="47"/>
  <c r="AH81" i="47"/>
  <c r="AB81" i="47"/>
  <c r="K81" i="47"/>
  <c r="W81" i="47"/>
  <c r="O81" i="47"/>
  <c r="L81" i="47"/>
  <c r="X81" i="47"/>
  <c r="P81" i="47"/>
  <c r="M81" i="47"/>
  <c r="Y81" i="47"/>
  <c r="N81" i="47"/>
  <c r="Z81" i="47"/>
  <c r="AA81" i="47"/>
  <c r="K86" i="47"/>
  <c r="W86" i="47"/>
  <c r="L86" i="47"/>
  <c r="X86" i="47"/>
  <c r="M86" i="47"/>
  <c r="Y86" i="47"/>
  <c r="N86" i="47"/>
  <c r="Z86" i="47"/>
  <c r="O86" i="47"/>
  <c r="AA86" i="47"/>
  <c r="P86" i="47"/>
  <c r="AB86" i="47"/>
  <c r="Q86" i="47"/>
  <c r="AC86" i="47"/>
  <c r="AH86" i="47"/>
  <c r="F86" i="47"/>
  <c r="R86" i="47"/>
  <c r="AD86" i="47"/>
  <c r="G86" i="47"/>
  <c r="S86" i="47"/>
  <c r="AE86" i="47"/>
  <c r="J86" i="47"/>
  <c r="H86" i="47"/>
  <c r="T86" i="47"/>
  <c r="AF86" i="47"/>
  <c r="I86" i="47"/>
  <c r="U86" i="47"/>
  <c r="AG86" i="47"/>
  <c r="V86" i="47"/>
  <c r="R71" i="47"/>
  <c r="AD71" i="47"/>
  <c r="P71" i="47"/>
  <c r="G71" i="47"/>
  <c r="S71" i="47"/>
  <c r="AE71" i="47"/>
  <c r="H71" i="47"/>
  <c r="T71" i="47"/>
  <c r="AF71" i="47"/>
  <c r="I71" i="47"/>
  <c r="U71" i="47"/>
  <c r="AG71" i="47"/>
  <c r="J71" i="47"/>
  <c r="V71" i="47"/>
  <c r="AH71" i="47"/>
  <c r="K71" i="47"/>
  <c r="W71" i="47"/>
  <c r="F71" i="47"/>
  <c r="L71" i="47"/>
  <c r="X71" i="47"/>
  <c r="Z71" i="47"/>
  <c r="Q71" i="47"/>
  <c r="M71" i="47"/>
  <c r="Y71" i="47"/>
  <c r="N71" i="47"/>
  <c r="AC71" i="47"/>
  <c r="O71" i="47"/>
  <c r="AA71" i="47"/>
  <c r="AB71" i="47"/>
  <c r="D7" i="47"/>
  <c r="AB37" i="47"/>
  <c r="AE37" i="47"/>
  <c r="AF37" i="47"/>
  <c r="Y37" i="47"/>
  <c r="D9" i="47"/>
  <c r="D10" i="47"/>
  <c r="D8" i="47"/>
  <c r="Q104" i="45"/>
  <c r="D150" i="45"/>
  <c r="D162" i="45" s="1"/>
  <c r="D149" i="45"/>
  <c r="D161" i="45" s="1"/>
  <c r="Q72" i="45"/>
  <c r="Q40" i="45"/>
  <c r="D148" i="45"/>
  <c r="D160" i="45" s="1"/>
  <c r="Q136" i="45"/>
  <c r="D151" i="45"/>
  <c r="R144" i="44"/>
  <c r="F164" i="44" s="1"/>
  <c r="F176" i="44" s="1"/>
  <c r="D163" i="45"/>
  <c r="D164" i="44"/>
  <c r="D176" i="44" s="1"/>
  <c r="E164" i="44"/>
  <c r="E176" i="44" s="1"/>
  <c r="Q109" i="44"/>
  <c r="Q74" i="44"/>
  <c r="D215" i="42"/>
  <c r="D216" i="42"/>
  <c r="D228" i="42" s="1"/>
  <c r="L216" i="42"/>
  <c r="L228" i="42" s="1"/>
  <c r="K216" i="42"/>
  <c r="K228" i="42" s="1"/>
  <c r="G217" i="42"/>
  <c r="G229" i="42" s="1"/>
  <c r="I215" i="42"/>
  <c r="I227" i="42" s="1"/>
  <c r="M217" i="42"/>
  <c r="M229" i="42" s="1"/>
  <c r="L218" i="42"/>
  <c r="L230" i="42" s="1"/>
  <c r="L217" i="42"/>
  <c r="L229" i="42" s="1"/>
  <c r="H218" i="42"/>
  <c r="H230" i="42" s="1"/>
  <c r="M218" i="42"/>
  <c r="M230" i="42" s="1"/>
  <c r="F217" i="42"/>
  <c r="F229" i="42" s="1"/>
  <c r="F216" i="42"/>
  <c r="F228" i="42" s="1"/>
  <c r="E216" i="42"/>
  <c r="E228" i="42" s="1"/>
  <c r="H216" i="42"/>
  <c r="H228" i="42" s="1"/>
  <c r="D217" i="42"/>
  <c r="D229" i="42" s="1"/>
  <c r="D218" i="42"/>
  <c r="D230" i="42" s="1"/>
  <c r="K218" i="42"/>
  <c r="K230" i="42" s="1"/>
  <c r="H217" i="42"/>
  <c r="H229" i="42" s="1"/>
  <c r="H215" i="42"/>
  <c r="H227" i="42" s="1"/>
  <c r="J216" i="42"/>
  <c r="J228" i="42" s="1"/>
  <c r="F218" i="42"/>
  <c r="F230" i="42" s="1"/>
  <c r="J217" i="42"/>
  <c r="J229" i="42" s="1"/>
  <c r="K215" i="42"/>
  <c r="K227" i="42" s="1"/>
  <c r="J215" i="42"/>
  <c r="J227" i="42" s="1"/>
  <c r="G215" i="42"/>
  <c r="G227" i="42" s="1"/>
  <c r="I216" i="42"/>
  <c r="I228" i="42" s="1"/>
  <c r="E217" i="42"/>
  <c r="E229" i="42" s="1"/>
  <c r="E218" i="42"/>
  <c r="E230" i="42" s="1"/>
  <c r="K217" i="42"/>
  <c r="K229" i="42" s="1"/>
  <c r="L215" i="42"/>
  <c r="L227" i="42" s="1"/>
  <c r="M215" i="42"/>
  <c r="M227" i="42" s="1"/>
  <c r="I218" i="42"/>
  <c r="I230" i="42" s="1"/>
  <c r="J218" i="42"/>
  <c r="J230" i="42" s="1"/>
  <c r="G218" i="42"/>
  <c r="G230" i="42" s="1"/>
  <c r="I217" i="42"/>
  <c r="I229" i="42" s="1"/>
  <c r="G216" i="42"/>
  <c r="G228" i="42" s="1"/>
  <c r="M216" i="42"/>
  <c r="M228" i="42" s="1"/>
  <c r="E20" i="32"/>
  <c r="F20" i="32"/>
  <c r="G20" i="32"/>
  <c r="H20" i="32"/>
  <c r="I20" i="32"/>
  <c r="J20" i="32"/>
  <c r="K20" i="32"/>
  <c r="L20" i="32"/>
  <c r="M20" i="32"/>
  <c r="E21" i="32"/>
  <c r="F21" i="32"/>
  <c r="G21" i="32"/>
  <c r="H21" i="32"/>
  <c r="I21" i="32"/>
  <c r="J21" i="32"/>
  <c r="K21" i="32"/>
  <c r="L21" i="32"/>
  <c r="M21" i="32"/>
  <c r="E22" i="32"/>
  <c r="F22" i="32"/>
  <c r="G22" i="32"/>
  <c r="H22" i="32"/>
  <c r="I22" i="32"/>
  <c r="J22" i="32"/>
  <c r="K22" i="32"/>
  <c r="L22" i="32"/>
  <c r="M22" i="32"/>
  <c r="E23" i="32"/>
  <c r="F23" i="32"/>
  <c r="G23" i="32"/>
  <c r="H23" i="32"/>
  <c r="I23" i="32"/>
  <c r="J23" i="32"/>
  <c r="K23" i="32"/>
  <c r="L23" i="32"/>
  <c r="M23" i="32"/>
  <c r="D21" i="32"/>
  <c r="D22" i="32"/>
  <c r="D23" i="32"/>
  <c r="D20" i="32"/>
  <c r="K36" i="29" l="1"/>
  <c r="K66" i="29" s="1"/>
  <c r="F42" i="29"/>
  <c r="F72" i="29" s="1"/>
  <c r="V88" i="29" s="1"/>
  <c r="J38" i="29"/>
  <c r="J68" i="29" s="1"/>
  <c r="L35" i="29"/>
  <c r="L65" i="29" s="1"/>
  <c r="G36" i="29"/>
  <c r="G66" i="29" s="1"/>
  <c r="P89" i="29" s="1"/>
  <c r="J39" i="29"/>
  <c r="J69" i="29" s="1"/>
  <c r="F36" i="29"/>
  <c r="F66" i="29" s="1"/>
  <c r="P88" i="29" s="1"/>
  <c r="M38" i="29"/>
  <c r="M68" i="29" s="1"/>
  <c r="S87" i="29" s="1"/>
  <c r="M42" i="29"/>
  <c r="M72" i="29" s="1"/>
  <c r="W87" i="29" s="1"/>
  <c r="M36" i="29"/>
  <c r="M66" i="29" s="1"/>
  <c r="Q87" i="29" s="1"/>
  <c r="O42" i="29"/>
  <c r="O72" i="29" s="1"/>
  <c r="W89" i="29" s="1"/>
  <c r="G38" i="29"/>
  <c r="G68" i="29" s="1"/>
  <c r="R89" i="29" s="1"/>
  <c r="G42" i="29"/>
  <c r="G72" i="29" s="1"/>
  <c r="V89" i="29" s="1"/>
  <c r="K42" i="29"/>
  <c r="K72" i="29" s="1"/>
  <c r="O38" i="29"/>
  <c r="O68" i="29" s="1"/>
  <c r="S89" i="29" s="1"/>
  <c r="O36" i="29"/>
  <c r="O66" i="29" s="1"/>
  <c r="Q89" i="29" s="1"/>
  <c r="E35" i="29"/>
  <c r="E65" i="29" s="1"/>
  <c r="E87" i="29" s="1"/>
  <c r="H39" i="29"/>
  <c r="H69" i="29" s="1"/>
  <c r="I90" i="29" s="1"/>
  <c r="H40" i="29"/>
  <c r="H70" i="29" s="1"/>
  <c r="T90" i="29" s="1"/>
  <c r="O39" i="29"/>
  <c r="O69" i="29" s="1"/>
  <c r="J89" i="29" s="1"/>
  <c r="O40" i="29"/>
  <c r="O70" i="29" s="1"/>
  <c r="U89" i="29" s="1"/>
  <c r="I39" i="29"/>
  <c r="I69" i="29" s="1"/>
  <c r="I40" i="29"/>
  <c r="I70" i="29" s="1"/>
  <c r="N39" i="29"/>
  <c r="N69" i="29" s="1"/>
  <c r="J88" i="29" s="1"/>
  <c r="N40" i="29"/>
  <c r="N70" i="29" s="1"/>
  <c r="U88" i="29" s="1"/>
  <c r="F40" i="29"/>
  <c r="F70" i="29" s="1"/>
  <c r="T88" i="29" s="1"/>
  <c r="F39" i="29"/>
  <c r="F69" i="29" s="1"/>
  <c r="I88" i="29" s="1"/>
  <c r="G39" i="29"/>
  <c r="G69" i="29" s="1"/>
  <c r="I89" i="29" s="1"/>
  <c r="G40" i="29"/>
  <c r="G70" i="29" s="1"/>
  <c r="T89" i="29" s="1"/>
  <c r="K40" i="29"/>
  <c r="K70" i="29" s="1"/>
  <c r="K39" i="29"/>
  <c r="K69" i="29" s="1"/>
  <c r="M39" i="29"/>
  <c r="M69" i="29" s="1"/>
  <c r="J87" i="29" s="1"/>
  <c r="M40" i="29"/>
  <c r="M70" i="29" s="1"/>
  <c r="U87" i="29" s="1"/>
  <c r="P39" i="29"/>
  <c r="P69" i="29" s="1"/>
  <c r="J90" i="29" s="1"/>
  <c r="P40" i="29"/>
  <c r="P70" i="29" s="1"/>
  <c r="U90" i="29" s="1"/>
  <c r="L39" i="29"/>
  <c r="L69" i="29" s="1"/>
  <c r="L40" i="29"/>
  <c r="L70" i="29" s="1"/>
  <c r="E40" i="29"/>
  <c r="E70" i="29" s="1"/>
  <c r="T87" i="29" s="1"/>
  <c r="E39" i="29"/>
  <c r="E69" i="29" s="1"/>
  <c r="I87" i="29" s="1"/>
  <c r="M37" i="29"/>
  <c r="M67" i="29" s="1"/>
  <c r="H87" i="29" s="1"/>
  <c r="E38" i="29"/>
  <c r="E68" i="29" s="1"/>
  <c r="R87" i="29" s="1"/>
  <c r="E37" i="29"/>
  <c r="E67" i="29" s="1"/>
  <c r="G87" i="29" s="1"/>
  <c r="F41" i="29"/>
  <c r="F71" i="29" s="1"/>
  <c r="K88" i="29" s="1"/>
  <c r="E36" i="29"/>
  <c r="E66" i="29" s="1"/>
  <c r="P87" i="29" s="1"/>
  <c r="L41" i="29"/>
  <c r="L71" i="29" s="1"/>
  <c r="K35" i="29"/>
  <c r="K65" i="29" s="1"/>
  <c r="L37" i="47"/>
  <c r="M35" i="29"/>
  <c r="M65" i="29" s="1"/>
  <c r="F87" i="29" s="1"/>
  <c r="M41" i="29"/>
  <c r="M71" i="29" s="1"/>
  <c r="L87" i="29" s="1"/>
  <c r="L37" i="29"/>
  <c r="L67" i="29" s="1"/>
  <c r="N37" i="29"/>
  <c r="N67" i="29" s="1"/>
  <c r="H88" i="29" s="1"/>
  <c r="N35" i="29"/>
  <c r="N65" i="29" s="1"/>
  <c r="F88" i="29" s="1"/>
  <c r="K41" i="29"/>
  <c r="K71" i="29" s="1"/>
  <c r="H37" i="29"/>
  <c r="H67" i="29" s="1"/>
  <c r="G90" i="29" s="1"/>
  <c r="J37" i="29"/>
  <c r="J67" i="29" s="1"/>
  <c r="G35" i="29"/>
  <c r="G65" i="29" s="1"/>
  <c r="E89" i="29" s="1"/>
  <c r="P35" i="29"/>
  <c r="P65" i="29" s="1"/>
  <c r="F90" i="29" s="1"/>
  <c r="O37" i="29"/>
  <c r="O67" i="29" s="1"/>
  <c r="H89" i="29" s="1"/>
  <c r="H35" i="29"/>
  <c r="H65" i="29" s="1"/>
  <c r="E90" i="29" s="1"/>
  <c r="I35" i="29"/>
  <c r="I65" i="29" s="1"/>
  <c r="P41" i="29"/>
  <c r="P71" i="29" s="1"/>
  <c r="L90" i="29" s="1"/>
  <c r="G41" i="29"/>
  <c r="G71" i="29" s="1"/>
  <c r="K89" i="29" s="1"/>
  <c r="F35" i="29"/>
  <c r="F65" i="29" s="1"/>
  <c r="E88" i="29" s="1"/>
  <c r="I41" i="29"/>
  <c r="I71" i="29" s="1"/>
  <c r="O41" i="29"/>
  <c r="O71" i="29" s="1"/>
  <c r="L89" i="29" s="1"/>
  <c r="H41" i="29"/>
  <c r="H71" i="29" s="1"/>
  <c r="K90" i="29" s="1"/>
  <c r="O35" i="29"/>
  <c r="O65" i="29" s="1"/>
  <c r="F89" i="29" s="1"/>
  <c r="N41" i="29"/>
  <c r="N71" i="29" s="1"/>
  <c r="L88" i="29" s="1"/>
  <c r="G37" i="29"/>
  <c r="G67" i="29" s="1"/>
  <c r="G89" i="29" s="1"/>
  <c r="P37" i="29"/>
  <c r="P67" i="29" s="1"/>
  <c r="H90" i="29" s="1"/>
  <c r="I37" i="29"/>
  <c r="I67" i="29" s="1"/>
  <c r="E78" i="47"/>
  <c r="E73" i="47"/>
  <c r="F72" i="47"/>
  <c r="F87" i="47"/>
  <c r="E83" i="47"/>
  <c r="F77" i="47"/>
  <c r="T37" i="47"/>
  <c r="AC37" i="47"/>
  <c r="X37" i="47"/>
  <c r="H37" i="47"/>
  <c r="S37" i="47"/>
  <c r="R37" i="47"/>
  <c r="K37" i="47"/>
  <c r="G37" i="47"/>
  <c r="Q37" i="47"/>
  <c r="AH37" i="47"/>
  <c r="AA37" i="47"/>
  <c r="P37" i="47"/>
  <c r="V37" i="47"/>
  <c r="O37" i="47"/>
  <c r="J37" i="47"/>
  <c r="F37" i="47"/>
  <c r="AG37" i="47"/>
  <c r="Z37" i="47"/>
  <c r="U37" i="47"/>
  <c r="W37" i="47"/>
  <c r="N37" i="47"/>
  <c r="I37" i="47"/>
  <c r="AD37" i="47"/>
  <c r="M37" i="47"/>
  <c r="F82" i="47"/>
  <c r="E88" i="47"/>
  <c r="E37" i="47"/>
  <c r="E38" i="47" s="1"/>
  <c r="G52" i="47"/>
  <c r="S52" i="47"/>
  <c r="AE52" i="47"/>
  <c r="H52" i="47"/>
  <c r="T52" i="47"/>
  <c r="AF52" i="47"/>
  <c r="I52" i="47"/>
  <c r="U52" i="47"/>
  <c r="AG52" i="47"/>
  <c r="J52" i="47"/>
  <c r="V52" i="47"/>
  <c r="AH52" i="47"/>
  <c r="K52" i="47"/>
  <c r="W52" i="47"/>
  <c r="E52" i="47"/>
  <c r="E53" i="47" s="1"/>
  <c r="L52" i="47"/>
  <c r="X52" i="47"/>
  <c r="M52" i="47"/>
  <c r="Y52" i="47"/>
  <c r="N52" i="47"/>
  <c r="Z52" i="47"/>
  <c r="AB52" i="47"/>
  <c r="AC52" i="47"/>
  <c r="AD52" i="47"/>
  <c r="F52" i="47"/>
  <c r="O52" i="47"/>
  <c r="P52" i="47"/>
  <c r="Q52" i="47"/>
  <c r="R52" i="47"/>
  <c r="AA52" i="47"/>
  <c r="M47" i="47"/>
  <c r="Y47" i="47"/>
  <c r="N47" i="47"/>
  <c r="Z47" i="47"/>
  <c r="O47" i="47"/>
  <c r="AA47" i="47"/>
  <c r="P47" i="47"/>
  <c r="AB47" i="47"/>
  <c r="Q47" i="47"/>
  <c r="AC47" i="47"/>
  <c r="F47" i="47"/>
  <c r="R47" i="47"/>
  <c r="AD47" i="47"/>
  <c r="G47" i="47"/>
  <c r="S47" i="47"/>
  <c r="AE47" i="47"/>
  <c r="H47" i="47"/>
  <c r="T47" i="47"/>
  <c r="AF47" i="47"/>
  <c r="AH47" i="47"/>
  <c r="E47" i="47"/>
  <c r="E48" i="47" s="1"/>
  <c r="I47" i="47"/>
  <c r="J47" i="47"/>
  <c r="K47" i="47"/>
  <c r="L47" i="47"/>
  <c r="U47" i="47"/>
  <c r="V47" i="47"/>
  <c r="W47" i="47"/>
  <c r="X47" i="47"/>
  <c r="AG47" i="47"/>
  <c r="R136" i="45"/>
  <c r="F151" i="45" s="1"/>
  <c r="F163" i="45" s="1"/>
  <c r="E151" i="45"/>
  <c r="E148" i="45"/>
  <c r="E160" i="45" s="1"/>
  <c r="R40" i="45"/>
  <c r="F148" i="45" s="1"/>
  <c r="F160" i="45" s="1"/>
  <c r="R72" i="45"/>
  <c r="F149" i="45" s="1"/>
  <c r="F161" i="45" s="1"/>
  <c r="E149" i="45"/>
  <c r="E161" i="45" s="1"/>
  <c r="R104" i="45"/>
  <c r="F150" i="45" s="1"/>
  <c r="F162" i="45" s="1"/>
  <c r="E150" i="45"/>
  <c r="E162" i="45" s="1"/>
  <c r="E163" i="45"/>
  <c r="R74" i="44"/>
  <c r="F162" i="44" s="1"/>
  <c r="F174" i="44" s="1"/>
  <c r="E162" i="44"/>
  <c r="E174" i="44" s="1"/>
  <c r="F161" i="44"/>
  <c r="F173" i="44" s="1"/>
  <c r="E161" i="44"/>
  <c r="E173" i="44" s="1"/>
  <c r="R109" i="44"/>
  <c r="F163" i="44" s="1"/>
  <c r="F175" i="44" s="1"/>
  <c r="E163" i="44"/>
  <c r="E175" i="44" s="1"/>
  <c r="H41" i="27"/>
  <c r="J41" i="27" s="1"/>
  <c r="H40" i="27"/>
  <c r="J40" i="27" s="1"/>
  <c r="H39" i="27"/>
  <c r="J39" i="27" s="1"/>
  <c r="G77" i="47" l="1"/>
  <c r="G82" i="47"/>
  <c r="H82" i="47" s="1"/>
  <c r="G72" i="47"/>
  <c r="F83" i="47"/>
  <c r="F38" i="47"/>
  <c r="F39" i="47" s="1"/>
  <c r="F88" i="47"/>
  <c r="G87" i="47"/>
  <c r="F78" i="47"/>
  <c r="F53" i="47"/>
  <c r="E54" i="47"/>
  <c r="E49" i="47"/>
  <c r="F48" i="47"/>
  <c r="N42" i="47"/>
  <c r="Z42" i="47"/>
  <c r="O42" i="47"/>
  <c r="AA42" i="47"/>
  <c r="G42" i="47"/>
  <c r="P42" i="47"/>
  <c r="AB42" i="47"/>
  <c r="Q42" i="47"/>
  <c r="AC42" i="47"/>
  <c r="R42" i="47"/>
  <c r="AD42" i="47"/>
  <c r="E42" i="47"/>
  <c r="E43" i="47" s="1"/>
  <c r="F42" i="47"/>
  <c r="S42" i="47"/>
  <c r="AE42" i="47"/>
  <c r="H42" i="47"/>
  <c r="T42" i="47"/>
  <c r="AF42" i="47"/>
  <c r="I42" i="47"/>
  <c r="U42" i="47"/>
  <c r="K42" i="47"/>
  <c r="L42" i="47"/>
  <c r="M42" i="47"/>
  <c r="V42" i="47"/>
  <c r="W42" i="47"/>
  <c r="X42" i="47"/>
  <c r="Y42" i="47"/>
  <c r="AG42" i="47"/>
  <c r="AH42" i="47"/>
  <c r="J42" i="47"/>
  <c r="J43" i="27"/>
  <c r="J45" i="27" s="1"/>
  <c r="G83" i="47" l="1"/>
  <c r="G38" i="47"/>
  <c r="H38" i="47" s="1"/>
  <c r="G78" i="47"/>
  <c r="H77" i="47"/>
  <c r="H87" i="47"/>
  <c r="G88" i="47"/>
  <c r="I82" i="47"/>
  <c r="H83" i="47"/>
  <c r="F73" i="47"/>
  <c r="E44" i="47"/>
  <c r="F43" i="47"/>
  <c r="G48" i="47"/>
  <c r="F49" i="47"/>
  <c r="G53" i="47"/>
  <c r="F54" i="47"/>
  <c r="G39" i="47" l="1"/>
  <c r="J82" i="47"/>
  <c r="I83" i="47"/>
  <c r="H72" i="47"/>
  <c r="G73" i="47"/>
  <c r="H88" i="47"/>
  <c r="I87" i="47"/>
  <c r="H78" i="47"/>
  <c r="I77" i="47"/>
  <c r="G54" i="47"/>
  <c r="H53" i="47"/>
  <c r="I38" i="47"/>
  <c r="H39" i="47"/>
  <c r="H48" i="47"/>
  <c r="G49" i="47"/>
  <c r="F44" i="47"/>
  <c r="G43" i="47"/>
  <c r="I78" i="47" l="1"/>
  <c r="J77" i="47"/>
  <c r="J87" i="47"/>
  <c r="I88" i="47"/>
  <c r="H73" i="47"/>
  <c r="I72" i="47"/>
  <c r="J83" i="47"/>
  <c r="K82" i="47"/>
  <c r="G44" i="47"/>
  <c r="H43" i="47"/>
  <c r="J38" i="47"/>
  <c r="I39" i="47"/>
  <c r="I48" i="47"/>
  <c r="H49" i="47"/>
  <c r="I53" i="47"/>
  <c r="H54" i="47"/>
  <c r="H44" i="47" l="1"/>
  <c r="I73" i="47"/>
  <c r="J72" i="47"/>
  <c r="L82" i="47"/>
  <c r="K83" i="47"/>
  <c r="K87" i="47"/>
  <c r="J88" i="47"/>
  <c r="K77" i="47"/>
  <c r="J78" i="47"/>
  <c r="I43" i="47"/>
  <c r="J53" i="47"/>
  <c r="I54" i="47"/>
  <c r="J48" i="47"/>
  <c r="I49" i="47"/>
  <c r="K38" i="47"/>
  <c r="J39" i="47"/>
  <c r="J43" i="47" l="1"/>
  <c r="J44" i="47" s="1"/>
  <c r="K88" i="47"/>
  <c r="L87" i="47"/>
  <c r="M82" i="47"/>
  <c r="L83" i="47"/>
  <c r="K78" i="47"/>
  <c r="L77" i="47"/>
  <c r="I44" i="47"/>
  <c r="J73" i="47"/>
  <c r="K72" i="47"/>
  <c r="K48" i="47"/>
  <c r="J49" i="47"/>
  <c r="L38" i="47"/>
  <c r="K39" i="47"/>
  <c r="K53" i="47"/>
  <c r="J54" i="47"/>
  <c r="K43" i="47" l="1"/>
  <c r="K44" i="47" s="1"/>
  <c r="L72" i="47"/>
  <c r="K73" i="47"/>
  <c r="M83" i="47"/>
  <c r="N82" i="47"/>
  <c r="L88" i="47"/>
  <c r="M87" i="47"/>
  <c r="M77" i="47"/>
  <c r="L78" i="47"/>
  <c r="L53" i="47"/>
  <c r="K54" i="47"/>
  <c r="M38" i="47"/>
  <c r="L39" i="47"/>
  <c r="L48" i="47"/>
  <c r="K49" i="47"/>
  <c r="L43" i="47" l="1"/>
  <c r="L44" i="47"/>
  <c r="M88" i="47"/>
  <c r="N87" i="47"/>
  <c r="N83" i="47"/>
  <c r="G98" i="47" s="1"/>
  <c r="G107" i="47" s="1"/>
  <c r="G20" i="29" s="1"/>
  <c r="O82" i="47"/>
  <c r="M78" i="47"/>
  <c r="N77" i="47"/>
  <c r="M72" i="47"/>
  <c r="L73" i="47"/>
  <c r="N38" i="47"/>
  <c r="M39" i="47"/>
  <c r="M43" i="47"/>
  <c r="M48" i="47"/>
  <c r="L49" i="47"/>
  <c r="M53" i="47"/>
  <c r="L54" i="47"/>
  <c r="G49" i="29" l="1"/>
  <c r="G79" i="29" s="1"/>
  <c r="G50" i="29"/>
  <c r="M44" i="47"/>
  <c r="N72" i="47"/>
  <c r="M73" i="47"/>
  <c r="O83" i="47"/>
  <c r="P82" i="47"/>
  <c r="O77" i="47"/>
  <c r="N78" i="47"/>
  <c r="F98" i="47" s="1"/>
  <c r="F107" i="47" s="1"/>
  <c r="F20" i="29" s="1"/>
  <c r="N43" i="47"/>
  <c r="N88" i="47"/>
  <c r="H98" i="47" s="1"/>
  <c r="H107" i="47" s="1"/>
  <c r="H20" i="29" s="1"/>
  <c r="O87" i="47"/>
  <c r="N53" i="47"/>
  <c r="M54" i="47"/>
  <c r="N48" i="47"/>
  <c r="M49" i="47"/>
  <c r="O38" i="47"/>
  <c r="N39" i="47"/>
  <c r="E19" i="29" s="1"/>
  <c r="E47" i="29" s="1"/>
  <c r="G80" i="29" l="1"/>
  <c r="H50" i="29"/>
  <c r="H49" i="29"/>
  <c r="H79" i="29" s="1"/>
  <c r="E77" i="29"/>
  <c r="E48" i="29"/>
  <c r="E78" i="29" s="1"/>
  <c r="F49" i="29"/>
  <c r="F79" i="29" s="1"/>
  <c r="F50" i="29"/>
  <c r="N44" i="47"/>
  <c r="F97" i="47" s="1"/>
  <c r="F106" i="47" s="1"/>
  <c r="F19" i="29" s="1"/>
  <c r="O78" i="47"/>
  <c r="P77" i="47"/>
  <c r="O43" i="47"/>
  <c r="P83" i="47"/>
  <c r="Q82" i="47"/>
  <c r="O88" i="47"/>
  <c r="P87" i="47"/>
  <c r="N73" i="47"/>
  <c r="E98" i="47" s="1"/>
  <c r="E107" i="47" s="1"/>
  <c r="E20" i="29" s="1"/>
  <c r="O72" i="47"/>
  <c r="P38" i="47"/>
  <c r="O39" i="47"/>
  <c r="O48" i="47"/>
  <c r="N49" i="47"/>
  <c r="G97" i="47" s="1"/>
  <c r="G106" i="47" s="1"/>
  <c r="G19" i="29" s="1"/>
  <c r="O53" i="47"/>
  <c r="N54" i="47"/>
  <c r="H97" i="47" s="1"/>
  <c r="H106" i="47" s="1"/>
  <c r="H19" i="29" s="1"/>
  <c r="H80" i="29" l="1"/>
  <c r="F80" i="29"/>
  <c r="F48" i="29"/>
  <c r="F78" i="29" s="1"/>
  <c r="F47" i="29"/>
  <c r="F77" i="29" s="1"/>
  <c r="G47" i="29"/>
  <c r="G77" i="29" s="1"/>
  <c r="G48" i="29"/>
  <c r="G78" i="29" s="1"/>
  <c r="E49" i="29"/>
  <c r="E79" i="29" s="1"/>
  <c r="E50" i="29"/>
  <c r="H47" i="29"/>
  <c r="H77" i="29" s="1"/>
  <c r="H48" i="29"/>
  <c r="H78" i="29" s="1"/>
  <c r="O44" i="47"/>
  <c r="P43" i="47"/>
  <c r="Q43" i="47" s="1"/>
  <c r="P88" i="47"/>
  <c r="Q87" i="47"/>
  <c r="P72" i="47"/>
  <c r="O73" i="47"/>
  <c r="R82" i="47"/>
  <c r="Q83" i="47"/>
  <c r="P78" i="47"/>
  <c r="Q77" i="47"/>
  <c r="P53" i="47"/>
  <c r="O54" i="47"/>
  <c r="P48" i="47"/>
  <c r="O49" i="47"/>
  <c r="Q38" i="47"/>
  <c r="P39" i="47"/>
  <c r="E80" i="29" l="1"/>
  <c r="Q44" i="47"/>
  <c r="P44" i="47"/>
  <c r="Q78" i="47"/>
  <c r="R77" i="47"/>
  <c r="S82" i="47"/>
  <c r="R83" i="47"/>
  <c r="P73" i="47"/>
  <c r="Q72" i="47"/>
  <c r="R87" i="47"/>
  <c r="Q88" i="47"/>
  <c r="R38" i="47"/>
  <c r="Q39" i="47"/>
  <c r="Q48" i="47"/>
  <c r="P49" i="47"/>
  <c r="Q53" i="47"/>
  <c r="P54" i="47"/>
  <c r="R43" i="47"/>
  <c r="R44" i="47" l="1"/>
  <c r="S87" i="47"/>
  <c r="R88" i="47"/>
  <c r="T82" i="47"/>
  <c r="S83" i="47"/>
  <c r="R72" i="47"/>
  <c r="Q73" i="47"/>
  <c r="R78" i="47"/>
  <c r="S77" i="47"/>
  <c r="R48" i="47"/>
  <c r="Q49" i="47"/>
  <c r="R53" i="47"/>
  <c r="Q54" i="47"/>
  <c r="S38" i="47"/>
  <c r="R39" i="47"/>
  <c r="S43" i="47"/>
  <c r="S44" i="47" l="1"/>
  <c r="R73" i="47"/>
  <c r="S72" i="47"/>
  <c r="U82" i="47"/>
  <c r="T83" i="47"/>
  <c r="T77" i="47"/>
  <c r="S78" i="47"/>
  <c r="S88" i="47"/>
  <c r="T87" i="47"/>
  <c r="T38" i="47"/>
  <c r="S39" i="47"/>
  <c r="S53" i="47"/>
  <c r="R54" i="47"/>
  <c r="S48" i="47"/>
  <c r="R49" i="47"/>
  <c r="T43" i="47"/>
  <c r="T44" i="47" l="1"/>
  <c r="T78" i="47"/>
  <c r="U77" i="47"/>
  <c r="V82" i="47"/>
  <c r="U83" i="47"/>
  <c r="U87" i="47"/>
  <c r="T88" i="47"/>
  <c r="S73" i="47"/>
  <c r="T72" i="47"/>
  <c r="T48" i="47"/>
  <c r="S49" i="47"/>
  <c r="T53" i="47"/>
  <c r="S54" i="47"/>
  <c r="U38" i="47"/>
  <c r="T39" i="47"/>
  <c r="U43" i="47"/>
  <c r="U44" i="47" l="1"/>
  <c r="U72" i="47"/>
  <c r="T73" i="47"/>
  <c r="V87" i="47"/>
  <c r="U88" i="47"/>
  <c r="V83" i="47"/>
  <c r="W82" i="47"/>
  <c r="U78" i="47"/>
  <c r="V77" i="47"/>
  <c r="V38" i="47"/>
  <c r="U39" i="47"/>
  <c r="U53" i="47"/>
  <c r="T54" i="47"/>
  <c r="U48" i="47"/>
  <c r="T49" i="47"/>
  <c r="V43" i="47"/>
  <c r="V44" i="47" l="1"/>
  <c r="V88" i="47"/>
  <c r="W87" i="47"/>
  <c r="V78" i="47"/>
  <c r="W77" i="47"/>
  <c r="X82" i="47"/>
  <c r="W83" i="47"/>
  <c r="U73" i="47"/>
  <c r="V72" i="47"/>
  <c r="V48" i="47"/>
  <c r="U49" i="47"/>
  <c r="V53" i="47"/>
  <c r="U54" i="47"/>
  <c r="W38" i="47"/>
  <c r="V39" i="47"/>
  <c r="W43" i="47"/>
  <c r="W44" i="47" l="1"/>
  <c r="V73" i="47"/>
  <c r="W72" i="47"/>
  <c r="Y82" i="47"/>
  <c r="X83" i="47"/>
  <c r="K98" i="47" s="1"/>
  <c r="K107" i="47" s="1"/>
  <c r="K20" i="29" s="1"/>
  <c r="X87" i="47"/>
  <c r="W88" i="47"/>
  <c r="X77" i="47"/>
  <c r="W78" i="47"/>
  <c r="X38" i="47"/>
  <c r="W39" i="47"/>
  <c r="W53" i="47"/>
  <c r="V54" i="47"/>
  <c r="W48" i="47"/>
  <c r="V49" i="47"/>
  <c r="X43" i="47"/>
  <c r="K49" i="29" l="1"/>
  <c r="K79" i="29" s="1"/>
  <c r="K50" i="29"/>
  <c r="X44" i="47"/>
  <c r="J97" i="47" s="1"/>
  <c r="J106" i="47" s="1"/>
  <c r="J19" i="29" s="1"/>
  <c r="Y83" i="47"/>
  <c r="Z82" i="47"/>
  <c r="Y77" i="47"/>
  <c r="X78" i="47"/>
  <c r="J98" i="47" s="1"/>
  <c r="J107" i="47" s="1"/>
  <c r="J20" i="29" s="1"/>
  <c r="X72" i="47"/>
  <c r="W73" i="47"/>
  <c r="X88" i="47"/>
  <c r="L98" i="47" s="1"/>
  <c r="L107" i="47" s="1"/>
  <c r="L20" i="29" s="1"/>
  <c r="Y87" i="47"/>
  <c r="X48" i="47"/>
  <c r="W49" i="47"/>
  <c r="X53" i="47"/>
  <c r="W54" i="47"/>
  <c r="Y38" i="47"/>
  <c r="X39" i="47"/>
  <c r="I97" i="47" s="1"/>
  <c r="I106" i="47" s="1"/>
  <c r="I19" i="29" s="1"/>
  <c r="Y43" i="47"/>
  <c r="K80" i="29" l="1"/>
  <c r="J49" i="29"/>
  <c r="J79" i="29" s="1"/>
  <c r="J50" i="29"/>
  <c r="L49" i="29"/>
  <c r="L79" i="29" s="1"/>
  <c r="L50" i="29"/>
  <c r="J47" i="29"/>
  <c r="J77" i="29" s="1"/>
  <c r="J48" i="29"/>
  <c r="J78" i="29" s="1"/>
  <c r="I47" i="29"/>
  <c r="I77" i="29" s="1"/>
  <c r="I48" i="29"/>
  <c r="I78" i="29" s="1"/>
  <c r="Y44" i="47"/>
  <c r="Z87" i="47"/>
  <c r="Y88" i="47"/>
  <c r="Y72" i="47"/>
  <c r="X73" i="47"/>
  <c r="I98" i="47" s="1"/>
  <c r="I107" i="47" s="1"/>
  <c r="I20" i="29" s="1"/>
  <c r="Z77" i="47"/>
  <c r="Y78" i="47"/>
  <c r="Z83" i="47"/>
  <c r="AA82" i="47"/>
  <c r="Z38" i="47"/>
  <c r="Y39" i="47"/>
  <c r="Y53" i="47"/>
  <c r="X54" i="47"/>
  <c r="L97" i="47" s="1"/>
  <c r="L106" i="47" s="1"/>
  <c r="L19" i="29" s="1"/>
  <c r="Y48" i="47"/>
  <c r="X49" i="47"/>
  <c r="K97" i="47" s="1"/>
  <c r="K106" i="47" s="1"/>
  <c r="K19" i="29" s="1"/>
  <c r="Z43" i="47"/>
  <c r="L80" i="29" l="1"/>
  <c r="J80" i="29"/>
  <c r="L48" i="29"/>
  <c r="L78" i="29" s="1"/>
  <c r="L47" i="29"/>
  <c r="L77" i="29" s="1"/>
  <c r="K48" i="29"/>
  <c r="K78" i="29" s="1"/>
  <c r="K47" i="29"/>
  <c r="K77" i="29" s="1"/>
  <c r="I50" i="29"/>
  <c r="I49" i="29"/>
  <c r="I79" i="29" s="1"/>
  <c r="Z44" i="47"/>
  <c r="AA77" i="47"/>
  <c r="Z78" i="47"/>
  <c r="AA83" i="47"/>
  <c r="AB82" i="47"/>
  <c r="Z72" i="47"/>
  <c r="Y73" i="47"/>
  <c r="Z88" i="47"/>
  <c r="AA87" i="47"/>
  <c r="Z48" i="47"/>
  <c r="Y49" i="47"/>
  <c r="Z53" i="47"/>
  <c r="Y54" i="47"/>
  <c r="AA38" i="47"/>
  <c r="Z39" i="47"/>
  <c r="AA43" i="47"/>
  <c r="I80" i="29" l="1"/>
  <c r="AA44" i="47"/>
  <c r="AA72" i="47"/>
  <c r="Z73" i="47"/>
  <c r="AB83" i="47"/>
  <c r="AC82" i="47"/>
  <c r="AB87" i="47"/>
  <c r="AA88" i="47"/>
  <c r="AA78" i="47"/>
  <c r="AB77" i="47"/>
  <c r="AB38" i="47"/>
  <c r="AA39" i="47"/>
  <c r="AA53" i="47"/>
  <c r="Z54" i="47"/>
  <c r="AA48" i="47"/>
  <c r="Z49" i="47"/>
  <c r="AB43" i="47"/>
  <c r="AB44" i="47" l="1"/>
  <c r="AC87" i="47"/>
  <c r="AB88" i="47"/>
  <c r="AC83" i="47"/>
  <c r="AD82" i="47"/>
  <c r="AC77" i="47"/>
  <c r="AB78" i="47"/>
  <c r="AB72" i="47"/>
  <c r="AA73" i="47"/>
  <c r="AB53" i="47"/>
  <c r="AA54" i="47"/>
  <c r="AB48" i="47"/>
  <c r="AA49" i="47"/>
  <c r="AC38" i="47"/>
  <c r="AB39" i="47"/>
  <c r="AC43" i="47"/>
  <c r="AC44" i="47" l="1"/>
  <c r="AC78" i="47"/>
  <c r="AD77" i="47"/>
  <c r="AC72" i="47"/>
  <c r="AB73" i="47"/>
  <c r="AD83" i="47"/>
  <c r="AE82" i="47"/>
  <c r="AD87" i="47"/>
  <c r="AC88" i="47"/>
  <c r="AD38" i="47"/>
  <c r="AC39" i="47"/>
  <c r="AC48" i="47"/>
  <c r="AB49" i="47"/>
  <c r="AC53" i="47"/>
  <c r="AB54" i="47"/>
  <c r="AD43" i="47"/>
  <c r="AD44" i="47" l="1"/>
  <c r="AE87" i="47"/>
  <c r="AD88" i="47"/>
  <c r="AC73" i="47"/>
  <c r="AD72" i="47"/>
  <c r="AD78" i="47"/>
  <c r="AE77" i="47"/>
  <c r="AF82" i="47"/>
  <c r="AE83" i="47"/>
  <c r="AD53" i="47"/>
  <c r="AC54" i="47"/>
  <c r="AD48" i="47"/>
  <c r="AC49" i="47"/>
  <c r="AE38" i="47"/>
  <c r="AD39" i="47"/>
  <c r="AE43" i="47"/>
  <c r="AE44" i="47" l="1"/>
  <c r="AE72" i="47"/>
  <c r="AD73" i="47"/>
  <c r="AF83" i="47"/>
  <c r="AG82" i="47"/>
  <c r="AF77" i="47"/>
  <c r="AE78" i="47"/>
  <c r="AF87" i="47"/>
  <c r="AE88" i="47"/>
  <c r="AF38" i="47"/>
  <c r="AE39" i="47"/>
  <c r="AE48" i="47"/>
  <c r="AD49" i="47"/>
  <c r="AE53" i="47"/>
  <c r="AD54" i="47"/>
  <c r="AF43" i="47"/>
  <c r="AF44" i="47" l="1"/>
  <c r="AF78" i="47"/>
  <c r="AG77" i="47"/>
  <c r="AH82" i="47"/>
  <c r="AG83" i="47"/>
  <c r="AG87" i="47"/>
  <c r="AF88" i="47"/>
  <c r="AE73" i="47"/>
  <c r="AF72" i="47"/>
  <c r="AF53" i="47"/>
  <c r="AE54" i="47"/>
  <c r="AF48" i="47"/>
  <c r="AE49" i="47"/>
  <c r="AG38" i="47"/>
  <c r="AF39" i="47"/>
  <c r="AG43" i="47"/>
  <c r="AH83" i="47" l="1"/>
  <c r="O98" i="47" s="1"/>
  <c r="O107" i="47" s="1"/>
  <c r="O20" i="29" s="1"/>
  <c r="AG44" i="47"/>
  <c r="AG72" i="47"/>
  <c r="AF73" i="47"/>
  <c r="AG88" i="47"/>
  <c r="AH87" i="47"/>
  <c r="AH77" i="47"/>
  <c r="AG78" i="47"/>
  <c r="AG48" i="47"/>
  <c r="AF49" i="47"/>
  <c r="AH38" i="47"/>
  <c r="AG39" i="47"/>
  <c r="AG53" i="47"/>
  <c r="AF54" i="47"/>
  <c r="AH43" i="47"/>
  <c r="O50" i="29" l="1"/>
  <c r="O49" i="29"/>
  <c r="O79" i="29" s="1"/>
  <c r="AH78" i="47"/>
  <c r="N98" i="47"/>
  <c r="N107" i="47" s="1"/>
  <c r="N20" i="29" s="1"/>
  <c r="AH88" i="47"/>
  <c r="P98" i="47" s="1"/>
  <c r="P107" i="47" s="1"/>
  <c r="P20" i="29" s="1"/>
  <c r="AH39" i="47"/>
  <c r="M97" i="47" s="1"/>
  <c r="M106" i="47" s="1"/>
  <c r="M19" i="29" s="1"/>
  <c r="AG73" i="47"/>
  <c r="AH72" i="47"/>
  <c r="AH44" i="47"/>
  <c r="N97" i="47" s="1"/>
  <c r="N106" i="47" s="1"/>
  <c r="N19" i="29" s="1"/>
  <c r="AH53" i="47"/>
  <c r="AG54" i="47"/>
  <c r="AH48" i="47"/>
  <c r="AG49" i="47"/>
  <c r="O80" i="29" l="1"/>
  <c r="N49" i="29"/>
  <c r="N79" i="29" s="1"/>
  <c r="N50" i="29"/>
  <c r="M48" i="29"/>
  <c r="M78" i="29" s="1"/>
  <c r="M47" i="29"/>
  <c r="M77" i="29" s="1"/>
  <c r="P50" i="29"/>
  <c r="P49" i="29"/>
  <c r="P79" i="29" s="1"/>
  <c r="N47" i="29"/>
  <c r="N77" i="29" s="1"/>
  <c r="N48" i="29"/>
  <c r="N78" i="29" s="1"/>
  <c r="AH73" i="47"/>
  <c r="M98" i="47"/>
  <c r="M107" i="47" s="1"/>
  <c r="M20" i="29" s="1"/>
  <c r="AH49" i="47"/>
  <c r="O97" i="47" s="1"/>
  <c r="O106" i="47" s="1"/>
  <c r="O19" i="29" s="1"/>
  <c r="AH54" i="47"/>
  <c r="P97" i="47" s="1"/>
  <c r="P106" i="47" s="1"/>
  <c r="P19" i="29" s="1"/>
  <c r="P80" i="29" l="1"/>
  <c r="N80" i="29"/>
  <c r="O48" i="29"/>
  <c r="O78" i="29" s="1"/>
  <c r="O47" i="29"/>
  <c r="O77" i="29" s="1"/>
  <c r="P48" i="29"/>
  <c r="P78" i="29" s="1"/>
  <c r="P47" i="29"/>
  <c r="P77" i="29" s="1"/>
  <c r="M49" i="29"/>
  <c r="M79" i="29" s="1"/>
  <c r="M50" i="29"/>
  <c r="M80"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tc={9C7B8937-09F5-4B98-9F29-68E4F7ABAF8E}</author>
  </authors>
  <commentList>
    <comment ref="D6" authorId="0" shapeId="0" xr:uid="{9C7B8937-09F5-4B98-9F29-68E4F7ABAF8E}">
      <text>
        <t>[Threaded comment]
Your version of Excel allows you to read this threaded comment; however, any edits to it will get removed if the file is opened in a newer version of Excel. Learn more: https://go.microsoft.com/fwlink/?linkid=870924
Comment:
    As shown in fig 5-1 of the DLV3 report, only in 2050 there will be significant on-network hydrogen consumption
Hence suggest to spread out these investments linearly in the 2020-2050 period
Reply:
    Propose to add these costs only to the H2 scenario, as the others will not require repurposing. And we would indeed just sum it with the energy and taxes components (with a disclaimer that it does not represent all network costs)</t>
      </text>
    </comment>
  </commentList>
</comments>
</file>

<file path=xl/sharedStrings.xml><?xml version="1.0" encoding="utf-8"?>
<sst xmlns="http://schemas.openxmlformats.org/spreadsheetml/2006/main" count="1625" uniqueCount="345">
  <si>
    <t>Title 1</t>
  </si>
  <si>
    <t>Title 2</t>
  </si>
  <si>
    <t>Title 3</t>
  </si>
  <si>
    <t>Series 1</t>
  </si>
  <si>
    <t>Series 2</t>
  </si>
  <si>
    <t>Series 3</t>
  </si>
  <si>
    <t>Series 4</t>
  </si>
  <si>
    <t>Series 5</t>
  </si>
  <si>
    <t>Series 6</t>
  </si>
  <si>
    <t>Year</t>
  </si>
  <si>
    <t>Example colour column chart</t>
  </si>
  <si>
    <t>Example colour pie chart</t>
  </si>
  <si>
    <t>Example pie with texture for Black and White print - useful for EC work</t>
  </si>
  <si>
    <t>Example column chart with texture for Black and White print - useful for EC work</t>
  </si>
  <si>
    <t>Colour scheme</t>
  </si>
  <si>
    <t>Max</t>
  </si>
  <si>
    <t>Min</t>
  </si>
  <si>
    <t>Red</t>
  </si>
  <si>
    <t>Green</t>
  </si>
  <si>
    <t>Blue</t>
  </si>
  <si>
    <t>Styles</t>
  </si>
  <si>
    <t>Work without gridlines (unselect on the View tab) in general</t>
  </si>
  <si>
    <t>Table heading</t>
  </si>
  <si>
    <t>Table heading 2</t>
  </si>
  <si>
    <t>Table cell</t>
  </si>
  <si>
    <t>Input white</t>
  </si>
  <si>
    <t>Trinomics colours in this column</t>
  </si>
  <si>
    <t>Use this for blank cells</t>
  </si>
  <si>
    <t>Description</t>
  </si>
  <si>
    <t>Cost</t>
  </si>
  <si>
    <t>Total cost</t>
  </si>
  <si>
    <t>Brussels - Rotterdam  - return train</t>
  </si>
  <si>
    <t>UK-Brussels - return flight</t>
  </si>
  <si>
    <t>Number of people</t>
  </si>
  <si>
    <t>Number of trips per person</t>
  </si>
  <si>
    <t>Trip cost per person</t>
  </si>
  <si>
    <t>Rotterdam-Copenhagen return flight</t>
  </si>
  <si>
    <t>Workshop cost</t>
  </si>
  <si>
    <t xml:space="preserve">Travel cost </t>
  </si>
  <si>
    <t>Users can then quickly copy-paste formulas to all relevant cells</t>
  </si>
  <si>
    <t>Use calculation shading to show clearly where the same formula is used in all cells in that colour</t>
  </si>
  <si>
    <t>Alternate colours when the formula changes</t>
  </si>
  <si>
    <t>Simple example:</t>
  </si>
  <si>
    <t>Tri_Input1</t>
  </si>
  <si>
    <t>Tri_InputFixed</t>
  </si>
  <si>
    <t>Tri_InputList</t>
  </si>
  <si>
    <t>Tri_Warning</t>
  </si>
  <si>
    <t>Tri_Calculation1</t>
  </si>
  <si>
    <t>Tri_Calculation2</t>
  </si>
  <si>
    <t>Tri_Calculation3</t>
  </si>
  <si>
    <t>Tri_Calculation4</t>
  </si>
  <si>
    <t>Tri_Comment</t>
  </si>
  <si>
    <t>Apply cell style as appropriate to achieve desired look</t>
  </si>
  <si>
    <t>Use this cell style to signal where the user should provide an input</t>
  </si>
  <si>
    <t>Use this cell style to signal a fixed input (e.g. constant)</t>
  </si>
  <si>
    <t>Use this cell style to signal a dropdown list</t>
  </si>
  <si>
    <t>Use this cell style to highlight limitations / concerns / errors</t>
  </si>
  <si>
    <t>Use this cell style to highlight that the cell contains a calculation</t>
  </si>
  <si>
    <t>Use this cell style to indicate that this is a comment</t>
  </si>
  <si>
    <t>Tri_check</t>
  </si>
  <si>
    <t>Use this cell style to indicate that this is a check on calculations</t>
  </si>
  <si>
    <t>Tri_RangeName</t>
  </si>
  <si>
    <t>Use this cell style to indicate the name of the named range used for the table or list</t>
  </si>
  <si>
    <t>Tri_Source</t>
  </si>
  <si>
    <t>Use this cell style to indicate the source of the information presented</t>
  </si>
  <si>
    <t>Tri_CalculationSum</t>
  </si>
  <si>
    <t>BAU</t>
  </si>
  <si>
    <t>Estonia</t>
  </si>
  <si>
    <t>Latvia</t>
  </si>
  <si>
    <t>Lithuania</t>
  </si>
  <si>
    <t>Finland</t>
  </si>
  <si>
    <t>REN-Methane</t>
  </si>
  <si>
    <t>LNG import</t>
  </si>
  <si>
    <t>Biomethane for blending</t>
  </si>
  <si>
    <t>Hydrogen for blending</t>
  </si>
  <si>
    <t>SNG for blending</t>
  </si>
  <si>
    <t xml:space="preserve">Pure Biomethane </t>
  </si>
  <si>
    <t>Pure renewable H2</t>
  </si>
  <si>
    <t>REN-Hydrogen</t>
  </si>
  <si>
    <t>C.M</t>
  </si>
  <si>
    <t>Biomethane production cost</t>
  </si>
  <si>
    <t>Hydrogen production cost</t>
  </si>
  <si>
    <t>SNG production cost</t>
  </si>
  <si>
    <t>NG price with ETS</t>
  </si>
  <si>
    <t>NG price without ETS</t>
  </si>
  <si>
    <t>Average consumption</t>
  </si>
  <si>
    <t>Historical energy consumption</t>
  </si>
  <si>
    <t>2012</t>
  </si>
  <si>
    <t>2013</t>
  </si>
  <si>
    <t>2014</t>
  </si>
  <si>
    <t>2015</t>
  </si>
  <si>
    <t>2016</t>
  </si>
  <si>
    <t>2017</t>
  </si>
  <si>
    <t>2018</t>
  </si>
  <si>
    <t>2019</t>
  </si>
  <si>
    <t>2020</t>
  </si>
  <si>
    <t>2021</t>
  </si>
  <si>
    <r>
      <t xml:space="preserve">Source: </t>
    </r>
    <r>
      <rPr>
        <sz val="8"/>
        <rFont val="Trebuchet MS"/>
        <family val="2"/>
      </rPr>
      <t>Eurostat - Final energy consumption by sector [TEN00124__custom_5020897]</t>
    </r>
  </si>
  <si>
    <t>Final energy consumption of households (in ktoe)</t>
  </si>
  <si>
    <t>Final energy consumption of households (in TWh)</t>
  </si>
  <si>
    <t>Note: For the analysis, we consider only on-network supply</t>
  </si>
  <si>
    <r>
      <rPr>
        <b/>
        <u/>
        <sz val="8"/>
        <rFont val="Trebuchet MS"/>
        <family val="2"/>
        <scheme val="major"/>
      </rPr>
      <t>Source</t>
    </r>
    <r>
      <rPr>
        <b/>
        <sz val="8"/>
        <rFont val="Trebuchet MS"/>
        <family val="2"/>
        <scheme val="major"/>
      </rPr>
      <t xml:space="preserve">: </t>
    </r>
    <r>
      <rPr>
        <sz val="8"/>
        <rFont val="Trebuchet MS"/>
        <family val="2"/>
        <scheme val="major"/>
      </rPr>
      <t>Deliverable 3 - File 'Required D3 results (6/2/2023)'</t>
    </r>
  </si>
  <si>
    <t>CAPEX (million Euros - Discounted values)</t>
  </si>
  <si>
    <t>OPEX (million Euros - Discounted values)</t>
  </si>
  <si>
    <t>Biomethane production</t>
  </si>
  <si>
    <t>Hydrogen production</t>
  </si>
  <si>
    <t>SNG</t>
  </si>
  <si>
    <t>Country</t>
  </si>
  <si>
    <t>Regulatory scheme</t>
  </si>
  <si>
    <t>Type of WACC</t>
  </si>
  <si>
    <t>Rate of return on equity before taxes</t>
  </si>
  <si>
    <t>Use of rate of return</t>
  </si>
  <si>
    <t>Rate-of-return</t>
  </si>
  <si>
    <t>Pre-tax WACC nominal</t>
  </si>
  <si>
    <t>Gas TSO</t>
  </si>
  <si>
    <t>Gas DSO</t>
  </si>
  <si>
    <t>Pre-tax, real</t>
  </si>
  <si>
    <t>Revenue cap</t>
  </si>
  <si>
    <t>The WACC is applied to the value of the RAB to calculate the return on capital, which is a part of capital costs in tariff</t>
  </si>
  <si>
    <t>Nominal, pre-tax</t>
  </si>
  <si>
    <t xml:space="preserve">WACC is used to calculate ROI. WACC is a multiplied by the whole RAB. </t>
  </si>
  <si>
    <t xml:space="preserve">Reasonable return is calculated by multiplying the adjusted capital invested in network operations by the reasonable RoR. Therefore, companies receive reasonable returns on adjusted equity and interest-bearing debt invested in network operations. </t>
  </si>
  <si>
    <t>Regulatory frameworks</t>
  </si>
  <si>
    <r>
      <rPr>
        <b/>
        <u/>
        <sz val="8"/>
        <rFont val="Trebuchet MS"/>
        <family val="2"/>
        <scheme val="major"/>
      </rPr>
      <t>Source</t>
    </r>
    <r>
      <rPr>
        <b/>
        <sz val="8"/>
        <rFont val="Trebuchet MS"/>
        <family val="2"/>
        <scheme val="major"/>
      </rPr>
      <t>:</t>
    </r>
    <r>
      <rPr>
        <sz val="8"/>
        <rFont val="Trebuchet MS"/>
        <family val="2"/>
        <scheme val="major"/>
      </rPr>
      <t xml:space="preserve"> CEER, 2022, Report on Regulatory Frameworks for European Energy Networks 2021 - available at: https://www.ceer.eu/documents/104400/-/-/ae4ccaa5-796d-f233-bfa4-37a328e3b2f5 </t>
    </r>
  </si>
  <si>
    <t>Medium</t>
  </si>
  <si>
    <t>Small</t>
  </si>
  <si>
    <t xml:space="preserve">Large </t>
  </si>
  <si>
    <t xml:space="preserve">Medium </t>
  </si>
  <si>
    <t>Low</t>
  </si>
  <si>
    <t>Average</t>
  </si>
  <si>
    <t>High</t>
  </si>
  <si>
    <t>TSO</t>
  </si>
  <si>
    <t>DSO</t>
  </si>
  <si>
    <t>Pipeline type</t>
  </si>
  <si>
    <t>Pipeline diameter</t>
  </si>
  <si>
    <t>Length (km)</t>
  </si>
  <si>
    <t>Cost of repurposing (in M€)</t>
  </si>
  <si>
    <t>Cost of new H2 pipelines (in M€)</t>
  </si>
  <si>
    <t>Network tariffs</t>
  </si>
  <si>
    <t>Taxes</t>
  </si>
  <si>
    <t>Natural gas</t>
  </si>
  <si>
    <t>VAT</t>
  </si>
  <si>
    <t>Heating fuel for business use</t>
  </si>
  <si>
    <r>
      <rPr>
        <b/>
        <u/>
        <sz val="8"/>
        <rFont val="Trebuchet MS"/>
        <family val="2"/>
        <scheme val="major"/>
      </rPr>
      <t>Source</t>
    </r>
    <r>
      <rPr>
        <b/>
        <sz val="8"/>
        <rFont val="Trebuchet MS"/>
        <family val="2"/>
        <scheme val="major"/>
      </rPr>
      <t xml:space="preserve">: </t>
    </r>
    <r>
      <rPr>
        <sz val="8"/>
        <rFont val="Trebuchet MS"/>
        <family val="2"/>
        <scheme val="major"/>
      </rPr>
      <t>Taxes in Europe Database v3 available at: https://ec.europa.eu/taxation_customs/tedb/taxDetails.html?id=4069/1672527600</t>
    </r>
  </si>
  <si>
    <t>Heating fuel for non-business use</t>
  </si>
  <si>
    <t>Gas supply (TWh)</t>
  </si>
  <si>
    <t>Investments (million €)</t>
  </si>
  <si>
    <r>
      <rPr>
        <b/>
        <u/>
        <sz val="8"/>
        <rFont val="Trebuchet MS"/>
        <family val="2"/>
        <scheme val="major"/>
      </rPr>
      <t>Source</t>
    </r>
    <r>
      <rPr>
        <b/>
        <sz val="8"/>
        <rFont val="Trebuchet MS"/>
        <family val="2"/>
        <scheme val="major"/>
      </rPr>
      <t xml:space="preserve">: EU Reference Scenario 2020 </t>
    </r>
    <r>
      <rPr>
        <sz val="8"/>
        <rFont val="Trebuchet MS"/>
        <family val="2"/>
        <scheme val="major"/>
      </rPr>
      <t>at: https://energy.ec.europa.eu/data-and-analysis/energy-modelling/eu-reference-scenario-2020_en</t>
    </r>
  </si>
  <si>
    <t>'10-'20</t>
  </si>
  <si>
    <t>'20-'30</t>
  </si>
  <si>
    <t>'30-'50</t>
  </si>
  <si>
    <t>Final Energy Consumption (ktoe)</t>
  </si>
  <si>
    <t>by sector</t>
  </si>
  <si>
    <t>Industry</t>
  </si>
  <si>
    <t xml:space="preserve"> Energy intensive industries (7)</t>
  </si>
  <si>
    <t xml:space="preserve"> Other industrial sectors</t>
  </si>
  <si>
    <t>Residential</t>
  </si>
  <si>
    <t>Tertiary (8)</t>
  </si>
  <si>
    <t>Transport (9)</t>
  </si>
  <si>
    <t>by fuel</t>
  </si>
  <si>
    <t>Solid fossil fuels</t>
  </si>
  <si>
    <t>Petroleum products</t>
  </si>
  <si>
    <t>Natural and manufactured gases</t>
  </si>
  <si>
    <t>Electricity</t>
  </si>
  <si>
    <t>Heat (from CHP and District Heating)</t>
  </si>
  <si>
    <t>Renewables</t>
  </si>
  <si>
    <t>Biomass &amp; waste (6)</t>
  </si>
  <si>
    <t>Geothermal and solar heat</t>
  </si>
  <si>
    <t>-</t>
  </si>
  <si>
    <t>Ambient heat</t>
  </si>
  <si>
    <t>Hydrogen</t>
  </si>
  <si>
    <t>Synthetic hydrocarbons</t>
  </si>
  <si>
    <t>Consumption (ktoe)</t>
  </si>
  <si>
    <t>Summary</t>
  </si>
  <si>
    <t>ktoe</t>
  </si>
  <si>
    <t>MWh</t>
  </si>
  <si>
    <t>Value</t>
  </si>
  <si>
    <t>Final energy consumption of natural gas and hydrogen (in ktoe)</t>
  </si>
  <si>
    <t>Final energy consumption of natural gas and hydrogen (in MWh)</t>
  </si>
  <si>
    <t>Average cost for household and commercial consumers</t>
  </si>
  <si>
    <t>GJ</t>
  </si>
  <si>
    <t>Data extracted on 24/02/2023 11:20:19 from [ESTAT]</t>
  </si>
  <si>
    <t xml:space="preserve">Dataset: </t>
  </si>
  <si>
    <t>Final energy consumption in households by type of fuel [TEN00125__custom_5080206]</t>
  </si>
  <si>
    <t xml:space="preserve">Last updated: </t>
  </si>
  <si>
    <t>22/01/2023 23:00</t>
  </si>
  <si>
    <t>Time frequency</t>
  </si>
  <si>
    <t>Annual</t>
  </si>
  <si>
    <t>Energy balance</t>
  </si>
  <si>
    <t>Final consumption - other sectors - households - energy use</t>
  </si>
  <si>
    <t>Standard international energy product classification (SIEC)</t>
  </si>
  <si>
    <t>Total</t>
  </si>
  <si>
    <t>Unit of measure</t>
  </si>
  <si>
    <t>Thousand tonnes of oil equivalent</t>
  </si>
  <si>
    <t>TIME</t>
  </si>
  <si>
    <t>2010</t>
  </si>
  <si>
    <t>2011</t>
  </si>
  <si>
    <t>GEO (Labels)</t>
  </si>
  <si>
    <t/>
  </si>
  <si>
    <t>Special value</t>
  </si>
  <si>
    <t>:</t>
  </si>
  <si>
    <t>not available</t>
  </si>
  <si>
    <t>Data extracted on 24/02/2023 11:20:48 from [ESTAT]</t>
  </si>
  <si>
    <t>Cost analysis of repurposing of NG networks</t>
  </si>
  <si>
    <t>Primary solid biofuels</t>
  </si>
  <si>
    <t>Gas oil and diesel oil</t>
  </si>
  <si>
    <t>Heat</t>
  </si>
  <si>
    <t>Liquified petroleum gases</t>
  </si>
  <si>
    <t>Other kerosene</t>
  </si>
  <si>
    <t>Solar thermal</t>
  </si>
  <si>
    <t>Ambient heat (heat pumps)</t>
  </si>
  <si>
    <t>% change 20-30</t>
  </si>
  <si>
    <t>% change 30-40</t>
  </si>
  <si>
    <t>% change 40-50</t>
  </si>
  <si>
    <t>Number of households</t>
  </si>
  <si>
    <t>Number of users</t>
  </si>
  <si>
    <t>Oil and petroleum products (excluding biofuel portion)</t>
  </si>
  <si>
    <t>Peat and peat products</t>
  </si>
  <si>
    <t>Renewables and biofuels</t>
  </si>
  <si>
    <t>Non-renewable waste</t>
  </si>
  <si>
    <t>Final energy consumption of commercial users</t>
  </si>
  <si>
    <t>Final energy consumption of households</t>
  </si>
  <si>
    <r>
      <rPr>
        <b/>
        <u/>
        <sz val="8"/>
        <rFont val="Trebuchet MS"/>
        <family val="2"/>
        <scheme val="major"/>
      </rPr>
      <t>Source</t>
    </r>
    <r>
      <rPr>
        <b/>
        <sz val="8"/>
        <rFont val="Trebuchet MS"/>
        <family val="2"/>
        <scheme val="major"/>
      </rPr>
      <t>: Eurostat Final energy consumption in services by type of fuel [TEN00128__custom_5089669]</t>
    </r>
  </si>
  <si>
    <t>Unit price</t>
  </si>
  <si>
    <t>(Projected) population</t>
  </si>
  <si>
    <t>(Projected) number of households</t>
  </si>
  <si>
    <t>Average number of people/household</t>
  </si>
  <si>
    <r>
      <rPr>
        <b/>
        <u/>
        <sz val="8"/>
        <rFont val="Trebuchet MS"/>
        <family val="2"/>
      </rPr>
      <t>Source</t>
    </r>
    <r>
      <rPr>
        <b/>
        <sz val="8"/>
        <rFont val="Trebuchet MS"/>
        <family val="2"/>
      </rPr>
      <t>: Eurostat Population on 1st January by age, sex and type of projection [PROJ_19NP__custom_5105875] / Eurostat Population on 1 January by age and sex [DEMO_PJAN__custom_5106087] / Households Estonia https://www.stat.ee/en/find-statistics/statistics-theme/well-being/households / Households Latvia https://stat.gov.lv/en/statistics-themes/population/private-households/tables/mvs010-total-number-and-average-size-private?themeCode=MV / Households Finland https://www.stat.fi/til/perh/2020/perh_2020_2021-05-28_tau_002_en.html / Households Lithuania https://osp.stat.gov.lt/en/lietuvos-gyventoju-pajamos-ir-gyvenimo-salygos-2020/namu-ukiai/namu-ukiu-sudetis</t>
    </r>
  </si>
  <si>
    <t>Commercial users</t>
  </si>
  <si>
    <t>Includes commercial and public buildings + local district heating + greenhouses</t>
  </si>
  <si>
    <t>Source: https://www.ceer.eu/national-reporting-2022</t>
  </si>
  <si>
    <t xml:space="preserve">Finland </t>
  </si>
  <si>
    <t>Assumptions</t>
  </si>
  <si>
    <t>Variable</t>
  </si>
  <si>
    <t>Assumption</t>
  </si>
  <si>
    <t>Source</t>
  </si>
  <si>
    <t>LCOE</t>
  </si>
  <si>
    <t xml:space="preserve">Provision political agreement from 18/12/2022 on ETS available at: https://www.europarl.europa.eu/news/en/press-room/20221212IPR64527/climate-change-deal-on-a-more-ambitious-emissions-trading-system-ets </t>
  </si>
  <si>
    <t xml:space="preserve">Households and commercial consumers only use on-grid gas. Pure biomethane and pure H2 are excluded from the LCOE calculation. </t>
  </si>
  <si>
    <t xml:space="preserve">EU ETS II for buildings and transport will be implemented as of 2027. The price of NG with ETS is used to calculate weighted average LCOE. </t>
  </si>
  <si>
    <t xml:space="preserve">All imported LNG is used on-grid. </t>
  </si>
  <si>
    <t xml:space="preserve">The same tax rates as for NG will be applied to hydrogen and biomethane. </t>
  </si>
  <si>
    <t>Own assumption</t>
  </si>
  <si>
    <t>Energy prices</t>
  </si>
  <si>
    <t>Summary - Final consumption</t>
  </si>
  <si>
    <t>Final energy consumption</t>
  </si>
  <si>
    <t>Includes also industrial users</t>
  </si>
  <si>
    <t>Total consumption in MWh</t>
  </si>
  <si>
    <t>Total investments</t>
  </si>
  <si>
    <t>Annual network tariffs</t>
  </si>
  <si>
    <t>Total cost for TSO and DSO (in M€)</t>
  </si>
  <si>
    <t>Total cost of repurposing for TSO and DSO (in M€)</t>
  </si>
  <si>
    <t>Total cost of new H2 pipelines for TSO and DSO (in M€)</t>
  </si>
  <si>
    <t>Average of Estonia and Lithuania</t>
  </si>
  <si>
    <t>Objective</t>
  </si>
  <si>
    <t>Guidelines</t>
  </si>
  <si>
    <t>Introduction</t>
  </si>
  <si>
    <t>Consumption</t>
  </si>
  <si>
    <t>Tab color codes:</t>
  </si>
  <si>
    <r>
      <rPr>
        <b/>
        <u/>
        <sz val="8"/>
        <rFont val="Trebuchet MS"/>
        <family val="2"/>
      </rPr>
      <t>Source</t>
    </r>
    <r>
      <rPr>
        <b/>
        <sz val="8"/>
        <rFont val="Trebuchet MS"/>
        <family val="2"/>
      </rPr>
      <t xml:space="preserve">: EU Reference Scenario 2020 </t>
    </r>
    <r>
      <rPr>
        <sz val="8"/>
        <rFont val="Trebuchet MS"/>
        <family val="2"/>
      </rPr>
      <t>at: https://energy.ec.europa.eu/data-and-analysis/energy-modelling/eu-reference-scenario-2020_en</t>
    </r>
  </si>
  <si>
    <r>
      <rPr>
        <b/>
        <u/>
        <sz val="8"/>
        <rFont val="Trebuchet MS"/>
        <family val="2"/>
      </rPr>
      <t>Source</t>
    </r>
    <r>
      <rPr>
        <b/>
        <sz val="8"/>
        <rFont val="Trebuchet MS"/>
        <family val="2"/>
      </rPr>
      <t>: Eurostat Final energy consumption in households by type of fuel [TEN00125]</t>
    </r>
  </si>
  <si>
    <t xml:space="preserve">Tax rates are constant over time. </t>
  </si>
  <si>
    <t>Households</t>
  </si>
  <si>
    <t>Total consumption (GWh/year)</t>
  </si>
  <si>
    <t>Number of consumers of gas</t>
  </si>
  <si>
    <t>Non-households</t>
  </si>
  <si>
    <t>Average consumption per household (MWh/year)</t>
  </si>
  <si>
    <t>Average consumption per user (MWh/year)</t>
  </si>
  <si>
    <t>Sector</t>
  </si>
  <si>
    <t>ce75d32e-6830-8562-48bc-5bf2a1390e21 (ceer.eu)</t>
  </si>
  <si>
    <t>Source Estonia</t>
  </si>
  <si>
    <t>Share of natural gas</t>
  </si>
  <si>
    <t>Final Energy Consumption (toe per capita)</t>
  </si>
  <si>
    <t>Natural gas (toe per capita)</t>
  </si>
  <si>
    <t>Gas demand projections</t>
  </si>
  <si>
    <t>Source: Deliverable 3 - Annex A gas demand projections (in TWh)</t>
  </si>
  <si>
    <t>Final energy consumption of natural gas and hydrogen (in toe)</t>
  </si>
  <si>
    <t>Final energy consumption of natural gas and hydrogen (in kWh)</t>
  </si>
  <si>
    <t>toe</t>
  </si>
  <si>
    <t>kWh</t>
  </si>
  <si>
    <r>
      <rPr>
        <b/>
        <u/>
        <sz val="8"/>
        <rFont val="Trebuchet MS"/>
        <family val="2"/>
      </rPr>
      <t>Source</t>
    </r>
    <r>
      <rPr>
        <b/>
        <sz val="8"/>
        <rFont val="Trebuchet MS"/>
        <family val="2"/>
      </rPr>
      <t>: Eurostat Final energy consumption in households by type of fuel [TEN00125] / Available energy, energy supply and final energy consumption per capita [NRG_IND_ESC__custom_5171086]</t>
    </r>
  </si>
  <si>
    <t>Investments (REN-hydrogen)</t>
  </si>
  <si>
    <t>Network tariffs (REN-hydrogen)</t>
  </si>
  <si>
    <t>All countries</t>
  </si>
  <si>
    <t>Start investments</t>
  </si>
  <si>
    <t>End investments</t>
  </si>
  <si>
    <t>Capital remuneration</t>
  </si>
  <si>
    <t>Repurposing NG pipelines</t>
  </si>
  <si>
    <t>New H2 pipelines</t>
  </si>
  <si>
    <t>Hydrogen consumption</t>
  </si>
  <si>
    <r>
      <rPr>
        <b/>
        <u/>
        <sz val="8"/>
        <rFont val="Trebuchet MS"/>
        <family val="2"/>
        <scheme val="major"/>
      </rPr>
      <t>Source</t>
    </r>
    <r>
      <rPr>
        <b/>
        <sz val="8"/>
        <rFont val="Trebuchet MS"/>
        <family val="2"/>
        <scheme val="major"/>
      </rPr>
      <t xml:space="preserve">: </t>
    </r>
    <r>
      <rPr>
        <sz val="8"/>
        <rFont val="Trebuchet MS"/>
        <family val="2"/>
        <scheme val="major"/>
      </rPr>
      <t>Deliverable 3 - File 'Annex A - Detailed scenario description'</t>
    </r>
  </si>
  <si>
    <t>Starting RAB (M€)</t>
  </si>
  <si>
    <t>Depreciation period (years)</t>
  </si>
  <si>
    <t>Pipeline gas consumption (TWh)</t>
  </si>
  <si>
    <t>Annual depreciation (M€)</t>
  </si>
  <si>
    <t>Depreciated RAB (M€)</t>
  </si>
  <si>
    <t>Capital remuneration (M€)</t>
  </si>
  <si>
    <t>Total consumption (MWh)</t>
  </si>
  <si>
    <t>REN-Hydrogen (new H2 pipelines)</t>
  </si>
  <si>
    <t>REN-Hydrogen (repurposing NG pipelines)</t>
  </si>
  <si>
    <t>Weigthed average LCOE (€/kWh)</t>
  </si>
  <si>
    <t>Rate (€/GJ)</t>
  </si>
  <si>
    <t>Rate (€/MWh)</t>
  </si>
  <si>
    <t>Business use (€/kWh)</t>
  </si>
  <si>
    <t>Non-business use (€/kWh)</t>
  </si>
  <si>
    <t>Input data</t>
  </si>
  <si>
    <t>Cell linked to another one</t>
  </si>
  <si>
    <t>We assume linear depreciation of assets.</t>
  </si>
  <si>
    <t xml:space="preserve">Network tariffs, as calculated in this Excel, only consider the impact of repurposing NG pipelines or building new H2 pipelines in the REN-Hydrogen scenario. Total network tariffs are not included in the calculations. </t>
  </si>
  <si>
    <t xml:space="preserve">Commercial users </t>
  </si>
  <si>
    <t>Average change</t>
  </si>
  <si>
    <t>Calculations</t>
  </si>
  <si>
    <t>Calculations (totals or averages)</t>
  </si>
  <si>
    <t>Average consumption (GJ)</t>
  </si>
  <si>
    <t>Average consumption (kWh)</t>
  </si>
  <si>
    <t xml:space="preserve">Source: Eurostat - Metadata assumptions for dataset: Gas prices for household consumers - bi-annual data (from 2007 onwards) (nrg_pc_202) available at: https://ec.europa.eu/eurostat/cache/metadata/en/nrg_pc_202_sims.htm </t>
  </si>
  <si>
    <r>
      <t xml:space="preserve">Own assumption
</t>
    </r>
    <r>
      <rPr>
        <sz val="8"/>
        <rFont val="Trebuchet MS"/>
        <family val="2"/>
      </rPr>
      <t>Source for consumption bands: https://ec.europa.eu/eurostat/cache/metadata/en/nrg_pc_202_sims.htm</t>
    </r>
  </si>
  <si>
    <t xml:space="preserve">Average consumption per household/commercial user is calculated by using the maximum of the appropriate Eurostat consumption band of 20 GJ for a D1 household, and 500 GJ for services (i.e. the average consumption of the I1 band). The Steering Committee is invited to provide better estimate of consumption, if available at national level. </t>
  </si>
  <si>
    <t>Average cost for households and commercial consumers (€)</t>
  </si>
  <si>
    <t>LCOE per fuel (€/MWh)</t>
  </si>
  <si>
    <t>Levelized cost of energy (LCOE)</t>
  </si>
  <si>
    <t>Gas supply</t>
  </si>
  <si>
    <t>Network tariffs (M€/MWh)</t>
  </si>
  <si>
    <t>Repurposing NG pipelines (M€/MWh)</t>
  </si>
  <si>
    <t>New H2 pipelines (M€/MWh)</t>
  </si>
  <si>
    <t>M€/MWh</t>
  </si>
  <si>
    <t>Energy prices (€/MWh)</t>
  </si>
  <si>
    <t>Network tariffs (€/MWh)</t>
  </si>
  <si>
    <t>Unit price, including only taxes (€/MWh)</t>
  </si>
  <si>
    <t>Average consumption (MWh)</t>
  </si>
  <si>
    <t>€/MWh</t>
  </si>
  <si>
    <t>Repurposing NG pipelines (€/MWh)</t>
  </si>
  <si>
    <t>New H2 pipelines (€/MWh)</t>
  </si>
  <si>
    <t>Unit price, including taxes and network tariffs (€/MWh)</t>
  </si>
  <si>
    <t>Unit price (€/MWh)</t>
  </si>
  <si>
    <t xml:space="preserve">Average cost for households and commercial consumers, including taxes and network tariffs (€) </t>
  </si>
  <si>
    <t>Average cost for households and commercial consumers, including only taxes (€)</t>
  </si>
  <si>
    <t>CM</t>
  </si>
  <si>
    <t xml:space="preserve">The objective of this file is to estimate the average cost of each gas decarbonisation scenario on consumers (i.e. households and commercial users). The figure below presents the methodology used to estimate these costs. </t>
  </si>
  <si>
    <t xml:space="preserve">Energy prices are estimated based on weigthed average LCOE. </t>
  </si>
  <si>
    <t xml:space="preserve">Network tariffs represent the increase in network tariffs due to building new hydrogen pipelines or repurposing of existing NG pipelines. </t>
  </si>
  <si>
    <t>Taxes represent all taxes and levies paid by consumers on energy, i.e. energy taxes and VAT.</t>
  </si>
  <si>
    <t>Visualisation</t>
  </si>
  <si>
    <t xml:space="preserve">This sheet calculates average annual consumption of consumers. </t>
  </si>
  <si>
    <t>Cells color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</si>
</sst>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3" formatCode="_ * #,##0.00_ ;_ * \-#,##0.00_ ;_ * &quot;-&quot;??_ ;_ @_ "/>
    <numFmt numFmtId="164" formatCode="_ * #,##0.000_ ;_ * \-#,##0.000_ ;_ * &quot;-&quot;??_ ;_ @_ "/>
    <numFmt numFmtId="165" formatCode="_ * #,##0_ ;_ * \-#,##0_ ;_ * &quot;-&quot;??_ ;_ @_ "/>
    <numFmt numFmtId="166" formatCode="0.0"/>
    <numFmt numFmtId="167" formatCode="#,##0.##########"/>
    <numFmt numFmtId="168" formatCode="#,##0.000"/>
    <numFmt numFmtId="169" formatCode="_ * #,##0.0_ ;_ * \-#,##0.0_ ;_ * &quot;-&quot;??_ ;_ @_ "/>
    <numFmt numFmtId="170" formatCode="_ * #,##0.0_ ;_ * \-#,##0.0_ ;_ * &quot;-&quot;?_ ;_ @_ "/>
    <numFmt numFmtId="171" formatCode="0.000"/>
    <numFmt numFmtId="172" formatCode="_ * #,##0.0000_ ;_ * \-#,##0.0000_ ;_ * &quot;-&quot;??_ ;_ @_ "/>
    <numFmt numFmtId="173" formatCode="_ * #,##0.000_ ;_ * \-#,##0.000_ ;_ * &quot;-&quot;?_ ;_ @_ "/>
    <numFmt numFmtId="174" formatCode="_ * #,##0_ ;_ * \-#,##0_ ;_ * &quot;-&quot;???_ ;_ @_ "/>
    <numFmt numFmtId="175" formatCode="0.0000"/>
    <numFmt numFmtId="176" formatCode="0.00000"/>
    <numFmt numFmtId="177" formatCode="_ * #,##0.000000_ ;_ * \-#,##0.000000_ ;_ * &quot;-&quot;?_ ;_ @_ "/>
  </numFmts>
  <fonts count="56" x14ac:knownFonts="1">
    <font>
      <sz val="8"/>
      <name val="Trebuchet MS"/>
      <family val="2"/>
    </font>
    <font>
      <sz val="11"/>
      <color theme="1"/>
      <name val="Trebuchet MS"/>
      <family val="2"/>
      <scheme val="minor"/>
    </font>
    <font>
      <sz val="8"/>
      <name val="Arial"/>
      <family val="2"/>
    </font>
    <font>
      <sz val="8"/>
      <name val="Arial"/>
      <family val="2"/>
    </font>
    <font>
      <b/>
      <sz val="8"/>
      <name val="Arial"/>
      <family val="2"/>
    </font>
    <font>
      <sz val="8"/>
      <color indexed="8"/>
      <name val="Arial"/>
      <family val="2"/>
    </font>
    <font>
      <sz val="8"/>
      <color theme="1"/>
      <name val="Arial"/>
      <family val="2"/>
    </font>
    <font>
      <sz val="8"/>
      <color theme="0"/>
      <name val="Arial"/>
      <family val="2"/>
    </font>
    <font>
      <sz val="8"/>
      <color rgb="FF8D2EA5"/>
      <name val="Arial"/>
      <family val="2"/>
    </font>
    <font>
      <sz val="8"/>
      <color theme="4"/>
      <name val="Arial"/>
      <family val="2"/>
    </font>
    <font>
      <u/>
      <sz val="8"/>
      <color rgb="FF6688CA"/>
      <name val="Arial"/>
      <family val="2"/>
    </font>
    <font>
      <b/>
      <sz val="11"/>
      <color theme="4"/>
      <name val="Verdana"/>
      <family val="2"/>
    </font>
    <font>
      <b/>
      <sz val="10"/>
      <color theme="6"/>
      <name val="Verdana"/>
      <family val="2"/>
    </font>
    <font>
      <b/>
      <sz val="9"/>
      <color theme="6"/>
      <name val="Verdana"/>
      <family val="2"/>
    </font>
    <font>
      <b/>
      <sz val="9"/>
      <color rgb="FF6688CA"/>
      <name val="Verdana"/>
      <family val="2"/>
    </font>
    <font>
      <u/>
      <sz val="8"/>
      <color theme="4"/>
      <name val="Arial"/>
      <family val="2"/>
    </font>
    <font>
      <sz val="8"/>
      <color rgb="FF3F3F3F"/>
      <name val="Arial"/>
      <family val="2"/>
    </font>
    <font>
      <b/>
      <sz val="16"/>
      <color theme="6"/>
      <name val="Verdana"/>
      <family val="2"/>
    </font>
    <font>
      <b/>
      <sz val="8"/>
      <color theme="1"/>
      <name val="Verdana"/>
      <family val="2"/>
    </font>
    <font>
      <sz val="8"/>
      <color theme="7"/>
      <name val="Arial"/>
      <family val="2"/>
    </font>
    <font>
      <b/>
      <sz val="11"/>
      <color rgb="FF002C54"/>
      <name val="Trebuchet MS"/>
      <family val="2"/>
    </font>
    <font>
      <b/>
      <sz val="12"/>
      <color rgb="FF002C54"/>
      <name val="Trebuchet MS"/>
      <family val="2"/>
    </font>
    <font>
      <sz val="10"/>
      <color rgb="FF002C54"/>
      <name val="Trebuchet MS"/>
      <family val="2"/>
    </font>
    <font>
      <b/>
      <sz val="8"/>
      <color theme="5"/>
      <name val="Trebuchet MS"/>
      <family val="2"/>
    </font>
    <font>
      <b/>
      <sz val="8"/>
      <name val="Trebuchet MS"/>
      <family val="2"/>
    </font>
    <font>
      <sz val="8"/>
      <name val="Trebuchet MS"/>
      <family val="2"/>
    </font>
    <font>
      <sz val="8"/>
      <color theme="1"/>
      <name val="Trebuchet MS"/>
      <family val="2"/>
    </font>
    <font>
      <sz val="8"/>
      <color rgb="FFBD0C30"/>
      <name val="Trebuchet MS"/>
      <family val="2"/>
    </font>
    <font>
      <sz val="8"/>
      <color theme="0"/>
      <name val="Trebuchet MS"/>
      <family val="2"/>
    </font>
    <font>
      <b/>
      <sz val="8"/>
      <color theme="0"/>
      <name val="Trebuchet MS"/>
      <family val="2"/>
    </font>
    <font>
      <sz val="8"/>
      <name val="Trebuchet MS"/>
      <family val="2"/>
      <scheme val="minor"/>
    </font>
    <font>
      <sz val="8"/>
      <color theme="5"/>
      <name val="Trebuchet MS"/>
      <family val="2"/>
    </font>
    <font>
      <b/>
      <i/>
      <sz val="6"/>
      <color theme="3" tint="0.499984740745262"/>
      <name val="Trebuchet MS"/>
      <family val="2"/>
    </font>
    <font>
      <sz val="8"/>
      <color theme="3" tint="0.499984740745262"/>
      <name val="Trebuchet MS"/>
      <family val="2"/>
    </font>
    <font>
      <sz val="7"/>
      <color theme="4"/>
      <name val="Trebuchet MS"/>
      <family val="2"/>
    </font>
    <font>
      <b/>
      <sz val="14"/>
      <color theme="1"/>
      <name val="Trebuchet MS"/>
      <family val="2"/>
      <scheme val="minor"/>
    </font>
    <font>
      <b/>
      <sz val="14"/>
      <color theme="1"/>
      <name val="Trebuchet MS"/>
      <family val="2"/>
      <scheme val="major"/>
    </font>
    <font>
      <sz val="8"/>
      <name val="Trebuchet MS"/>
      <family val="2"/>
      <scheme val="major"/>
    </font>
    <font>
      <b/>
      <sz val="11"/>
      <color theme="1"/>
      <name val="Trebuchet MS"/>
      <family val="2"/>
      <scheme val="major"/>
    </font>
    <font>
      <sz val="8"/>
      <color rgb="FF000000"/>
      <name val="Trebuchet MS"/>
      <family val="2"/>
      <scheme val="major"/>
    </font>
    <font>
      <b/>
      <sz val="8"/>
      <color theme="1"/>
      <name val="Trebuchet MS"/>
      <family val="2"/>
      <scheme val="major"/>
    </font>
    <font>
      <b/>
      <sz val="8"/>
      <color theme="1"/>
      <name val="Trebuchet MS"/>
      <family val="2"/>
      <scheme val="minor"/>
    </font>
    <font>
      <sz val="8"/>
      <color theme="1"/>
      <name val="Calibri"/>
      <family val="2"/>
    </font>
    <font>
      <sz val="8"/>
      <color rgb="FF000000"/>
      <name val="Trebuchet MS"/>
      <family val="2"/>
      <scheme val="minor"/>
    </font>
    <font>
      <b/>
      <sz val="8"/>
      <name val="Trebuchet MS"/>
      <family val="2"/>
      <scheme val="major"/>
    </font>
    <font>
      <b/>
      <u/>
      <sz val="8"/>
      <name val="Trebuchet MS"/>
      <family val="2"/>
      <scheme val="major"/>
    </font>
    <font>
      <u/>
      <sz val="11"/>
      <color theme="10"/>
      <name val="Trebuchet MS"/>
      <family val="2"/>
      <scheme val="minor"/>
    </font>
    <font>
      <i/>
      <sz val="8"/>
      <name val="Arial"/>
      <family val="2"/>
    </font>
    <font>
      <i/>
      <sz val="8"/>
      <name val="Trebuchet MS"/>
      <family val="2"/>
    </font>
    <font>
      <sz val="9"/>
      <name val="Trebuchet MS"/>
      <family val="2"/>
      <scheme val="major"/>
    </font>
    <font>
      <b/>
      <sz val="9"/>
      <name val="Trebuchet MS"/>
      <family val="2"/>
      <scheme val="major"/>
    </font>
    <font>
      <b/>
      <sz val="9"/>
      <color indexed="9"/>
      <name val="Trebuchet MS"/>
      <family val="2"/>
      <scheme val="major"/>
    </font>
    <font>
      <b/>
      <sz val="9"/>
      <color theme="0"/>
      <name val="Trebuchet MS"/>
      <family val="2"/>
      <scheme val="major"/>
    </font>
    <font>
      <b/>
      <u/>
      <sz val="8"/>
      <name val="Trebuchet MS"/>
      <family val="2"/>
    </font>
    <font>
      <sz val="8"/>
      <color theme="0" tint="-0.499984740745262"/>
      <name val="Trebuchet MS"/>
      <family val="2"/>
    </font>
    <font>
      <b/>
      <sz val="8"/>
      <name val="Trebuchet MS"/>
      <family val="2"/>
      <scheme val="minor"/>
    </font>
  </fonts>
  <fills count="85">
    <fill>
      <patternFill patternType="none"/>
    </fill>
    <fill>
      <patternFill patternType="gray125"/>
    </fill>
    <fill>
      <patternFill patternType="solid">
        <fgColor indexed="56"/>
        <bgColor indexed="64"/>
      </patternFill>
    </fill>
    <fill>
      <patternFill patternType="solid">
        <fgColor indexed="62"/>
        <bgColor indexed="64"/>
      </patternFill>
    </fill>
    <fill>
      <patternFill patternType="solid">
        <fgColor indexed="18"/>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rgb="FFFFE2CC"/>
        <bgColor rgb="FFFFE2CC"/>
      </patternFill>
    </fill>
    <fill>
      <patternFill patternType="solid">
        <fgColor rgb="FFCCD7ED"/>
        <bgColor indexed="64"/>
      </patternFill>
    </fill>
    <fill>
      <patternFill patternType="solid">
        <fgColor rgb="FFE3D5ED"/>
        <bgColor indexed="64"/>
      </patternFill>
    </fill>
    <fill>
      <patternFill patternType="solid">
        <fgColor rgb="FFCAE399"/>
        <bgColor rgb="FFE4F1CC"/>
      </patternFill>
    </fill>
    <fill>
      <patternFill patternType="solid">
        <fgColor rgb="FFE8E8E8"/>
        <bgColor indexed="64"/>
      </patternFill>
    </fill>
    <fill>
      <patternFill patternType="solid">
        <fgColor rgb="FFFFEB9C"/>
        <bgColor indexed="48"/>
      </patternFill>
    </fill>
    <fill>
      <patternFill patternType="solid">
        <fgColor rgb="FFE4F1CC"/>
        <bgColor indexed="64"/>
      </patternFill>
    </fill>
    <fill>
      <patternFill patternType="solid">
        <fgColor theme="8" tint="0.79998168889431442"/>
        <bgColor indexed="64"/>
      </patternFill>
    </fill>
    <fill>
      <patternFill patternType="solid">
        <fgColor indexed="60"/>
        <bgColor indexed="64"/>
      </patternFill>
    </fill>
    <fill>
      <patternFill patternType="solid">
        <fgColor indexed="53"/>
        <bgColor indexed="64"/>
      </patternFill>
    </fill>
    <fill>
      <patternFill patternType="solid">
        <fgColor indexed="23"/>
        <bgColor indexed="64"/>
      </patternFill>
    </fill>
    <fill>
      <patternFill patternType="solid">
        <fgColor indexed="39"/>
        <bgColor indexed="64"/>
      </patternFill>
    </fill>
    <fill>
      <patternFill patternType="solid">
        <fgColor indexed="38"/>
        <bgColor indexed="64"/>
      </patternFill>
    </fill>
    <fill>
      <patternFill patternType="solid">
        <fgColor indexed="63"/>
        <bgColor indexed="64"/>
      </patternFill>
    </fill>
    <fill>
      <patternFill patternType="solid">
        <fgColor rgb="FFD1339D"/>
        <bgColor indexed="64"/>
      </patternFill>
    </fill>
    <fill>
      <patternFill patternType="solid">
        <fgColor rgb="FF8E58B7"/>
        <bgColor indexed="64"/>
      </patternFill>
    </fill>
    <fill>
      <patternFill patternType="solid">
        <fgColor rgb="FF50458F"/>
        <bgColor indexed="64"/>
      </patternFill>
    </fill>
    <fill>
      <patternFill patternType="solid">
        <fgColor indexed="31"/>
        <bgColor indexed="64"/>
      </patternFill>
    </fill>
    <fill>
      <patternFill patternType="solid">
        <fgColor indexed="30"/>
        <bgColor indexed="64"/>
      </patternFill>
    </fill>
    <fill>
      <patternFill patternType="solid">
        <fgColor rgb="FFE5E533"/>
        <bgColor indexed="64"/>
      </patternFill>
    </fill>
    <fill>
      <patternFill patternType="solid">
        <fgColor indexed="59"/>
        <bgColor indexed="64"/>
      </patternFill>
    </fill>
    <fill>
      <patternFill patternType="solid">
        <fgColor rgb="FFAA82C9"/>
        <bgColor indexed="64"/>
      </patternFill>
    </fill>
    <fill>
      <patternFill patternType="solid">
        <fgColor indexed="54"/>
        <bgColor indexed="64"/>
      </patternFill>
    </fill>
    <fill>
      <patternFill patternType="solid">
        <fgColor indexed="9"/>
        <bgColor indexed="64"/>
      </patternFill>
    </fill>
    <fill>
      <patternFill patternType="solid">
        <fgColor indexed="46"/>
        <bgColor indexed="64"/>
      </patternFill>
    </fill>
    <fill>
      <patternFill patternType="solid">
        <fgColor rgb="FFE899CE"/>
        <bgColor indexed="64"/>
      </patternFill>
    </fill>
    <fill>
      <patternFill patternType="solid">
        <fgColor indexed="19"/>
        <bgColor indexed="64"/>
      </patternFill>
    </fill>
    <fill>
      <patternFill patternType="solid">
        <fgColor indexed="12"/>
        <bgColor indexed="64"/>
      </patternFill>
    </fill>
    <fill>
      <patternFill patternType="solid">
        <fgColor indexed="22"/>
        <bgColor indexed="64"/>
      </patternFill>
    </fill>
    <fill>
      <patternFill patternType="solid">
        <fgColor indexed="61"/>
        <bgColor indexed="64"/>
      </patternFill>
    </fill>
    <fill>
      <patternFill patternType="solid">
        <fgColor theme="5"/>
        <bgColor indexed="64"/>
      </patternFill>
    </fill>
    <fill>
      <patternFill patternType="solid">
        <fgColor rgb="FF25547F"/>
        <bgColor indexed="64"/>
      </patternFill>
    </fill>
    <fill>
      <patternFill patternType="solid">
        <fgColor rgb="FF4B7DAA"/>
        <bgColor indexed="64"/>
      </patternFill>
    </fill>
    <fill>
      <patternFill patternType="solid">
        <fgColor rgb="FF70A5D4"/>
        <bgColor indexed="64"/>
      </patternFill>
    </fill>
    <fill>
      <patternFill patternType="solid">
        <fgColor rgb="FF00707C"/>
        <bgColor rgb="FF95C633"/>
      </patternFill>
    </fill>
    <fill>
      <patternFill patternType="solid">
        <fgColor rgb="FF008795"/>
        <bgColor indexed="64"/>
      </patternFill>
    </fill>
    <fill>
      <patternFill patternType="solid">
        <fgColor rgb="FF009DAF"/>
        <bgColor indexed="64"/>
      </patternFill>
    </fill>
    <fill>
      <patternFill patternType="solid">
        <fgColor rgb="FFF3715A"/>
        <bgColor indexed="64"/>
      </patternFill>
    </fill>
    <fill>
      <patternFill patternType="solid">
        <fgColor rgb="FFF69583"/>
        <bgColor indexed="64"/>
      </patternFill>
    </fill>
    <fill>
      <patternFill patternType="solid">
        <fgColor rgb="FFF9B8AD"/>
        <bgColor indexed="64"/>
      </patternFill>
    </fill>
    <fill>
      <patternFill patternType="solid">
        <fgColor rgb="FFC1D8D7"/>
        <bgColor indexed="64"/>
      </patternFill>
    </fill>
    <fill>
      <patternFill patternType="solid">
        <fgColor rgb="FFD1E2E1"/>
        <bgColor indexed="64"/>
      </patternFill>
    </fill>
    <fill>
      <patternFill patternType="solid">
        <fgColor rgb="FFE0EBEB"/>
        <bgColor indexed="64"/>
      </patternFill>
    </fill>
    <fill>
      <patternFill patternType="solid">
        <fgColor rgb="FFD9BC7D"/>
        <bgColor indexed="64"/>
      </patternFill>
    </fill>
    <fill>
      <patternFill patternType="solid">
        <fgColor rgb="FFB49553"/>
        <bgColor indexed="64"/>
      </patternFill>
    </fill>
    <fill>
      <patternFill patternType="solid">
        <fgColor rgb="FF8E6D2A"/>
        <bgColor indexed="64"/>
      </patternFill>
    </fill>
    <fill>
      <patternFill patternType="solid">
        <fgColor theme="9"/>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4" tint="0.749992370372631"/>
        <bgColor indexed="64"/>
      </patternFill>
    </fill>
    <fill>
      <patternFill patternType="solid">
        <fgColor rgb="FF00707C"/>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49992370372631"/>
        <bgColor indexed="64"/>
      </patternFill>
    </fill>
    <fill>
      <patternFill patternType="solid">
        <fgColor theme="4" tint="0.89996032593768116"/>
        <bgColor indexed="64"/>
      </patternFill>
    </fill>
    <fill>
      <patternFill patternType="solid">
        <fgColor theme="5" tint="0.89996032593768116"/>
        <bgColor indexed="64"/>
      </patternFill>
    </fill>
    <fill>
      <patternFill patternType="solid">
        <fgColor rgb="FFFFECDD"/>
        <bgColor indexed="64"/>
      </patternFill>
    </fill>
    <fill>
      <patternFill patternType="solid">
        <fgColor theme="4"/>
        <bgColor theme="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4669AF"/>
      </patternFill>
    </fill>
    <fill>
      <patternFill patternType="solid">
        <fgColor rgb="FF0096DC"/>
      </patternFill>
    </fill>
    <fill>
      <patternFill patternType="mediumGray">
        <bgColor indexed="22"/>
      </patternFill>
    </fill>
    <fill>
      <patternFill patternType="solid">
        <fgColor rgb="FFDCE6F1"/>
      </patternFill>
    </fill>
    <fill>
      <patternFill patternType="solid">
        <fgColor rgb="FFF6F6F6"/>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89999084444715716"/>
        <bgColor indexed="64"/>
      </patternFill>
    </fill>
    <fill>
      <patternFill patternType="solid">
        <fgColor rgb="FFE5FDFF"/>
        <bgColor indexed="64"/>
      </patternFill>
    </fill>
    <fill>
      <patternFill patternType="lightDown">
        <bgColor theme="7" tint="0.79995117038483843"/>
      </patternFill>
    </fill>
    <fill>
      <patternFill patternType="lightDown">
        <bgColor indexed="56"/>
      </patternFill>
    </fill>
  </fills>
  <borders count="38">
    <border>
      <left/>
      <right/>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3"/>
      </left>
      <right style="hair">
        <color indexed="43"/>
      </right>
      <top style="hair">
        <color indexed="43"/>
      </top>
      <bottom style="thin">
        <color indexed="34"/>
      </bottom>
      <diagonal/>
    </border>
    <border>
      <left style="dotted">
        <color rgb="FFE8E8E8"/>
      </left>
      <right style="dotted">
        <color rgb="FFE8E8E8"/>
      </right>
      <top style="dotted">
        <color rgb="FFE8E8E8"/>
      </top>
      <bottom style="dotted">
        <color rgb="FFE8E8E8"/>
      </bottom>
      <diagonal/>
    </border>
    <border>
      <left/>
      <right/>
      <top/>
      <bottom style="medium">
        <color theme="5"/>
      </bottom>
      <diagonal/>
    </border>
    <border>
      <left/>
      <right/>
      <top/>
      <bottom style="thin">
        <color theme="6"/>
      </bottom>
      <diagonal/>
    </border>
    <border>
      <left style="dotted">
        <color theme="5"/>
      </left>
      <right style="dotted">
        <color theme="5"/>
      </right>
      <top style="thin">
        <color theme="5"/>
      </top>
      <bottom style="medium">
        <color theme="5"/>
      </bottom>
      <diagonal/>
    </border>
    <border>
      <left/>
      <right/>
      <top/>
      <bottom style="thin">
        <color rgb="FFF3CD66"/>
      </bottom>
      <diagonal/>
    </border>
    <border>
      <left/>
      <right/>
      <top/>
      <bottom style="medium">
        <color theme="6"/>
      </bottom>
      <diagonal/>
    </border>
    <border>
      <left/>
      <right/>
      <top/>
      <bottom style="thick">
        <color rgb="FFB2CECD"/>
      </bottom>
      <diagonal/>
    </border>
    <border>
      <left style="hair">
        <color indexed="43"/>
      </left>
      <right style="hair">
        <color indexed="43"/>
      </right>
      <top style="hair">
        <color indexed="43"/>
      </top>
      <bottom style="thin">
        <color theme="5"/>
      </bottom>
      <diagonal/>
    </border>
    <border>
      <left style="hair">
        <color indexed="43"/>
      </left>
      <right style="hair">
        <color indexed="43"/>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13"/>
      </left>
      <right/>
      <top style="hair">
        <color indexed="13"/>
      </top>
      <bottom style="hair">
        <color indexed="13"/>
      </bottom>
      <diagonal/>
    </border>
    <border>
      <left/>
      <right style="hair">
        <color indexed="13"/>
      </right>
      <top style="hair">
        <color indexed="13"/>
      </top>
      <bottom style="hair">
        <color indexed="13"/>
      </bottom>
      <diagonal/>
    </border>
    <border>
      <left style="thin">
        <color rgb="FFB0B0B0"/>
      </left>
      <right style="thin">
        <color rgb="FFB0B0B0"/>
      </right>
      <top style="thin">
        <color rgb="FFB0B0B0"/>
      </top>
      <bottom style="thin">
        <color rgb="FFB0B0B0"/>
      </bottom>
      <diagonal/>
    </border>
    <border>
      <left style="thin">
        <color theme="5"/>
      </left>
      <right style="thin">
        <color theme="5"/>
      </right>
      <top style="thin">
        <color theme="5"/>
      </top>
      <bottom style="thin">
        <color theme="5"/>
      </bottom>
      <diagonal/>
    </border>
    <border>
      <left/>
      <right/>
      <top/>
      <bottom style="hair">
        <color indexed="13"/>
      </bottom>
      <diagonal/>
    </border>
    <border>
      <left/>
      <right/>
      <top style="hair">
        <color indexed="13"/>
      </top>
      <bottom/>
      <diagonal/>
    </border>
    <border>
      <left/>
      <right style="hair">
        <color indexed="13"/>
      </right>
      <top/>
      <bottom/>
      <diagonal/>
    </border>
    <border>
      <left style="hair">
        <color indexed="13"/>
      </left>
      <right style="hair">
        <color indexed="13"/>
      </right>
      <top style="hair">
        <color indexed="13"/>
      </top>
      <bottom/>
      <diagonal/>
    </border>
    <border>
      <left style="hair">
        <color indexed="13"/>
      </left>
      <right style="hair">
        <color indexed="13"/>
      </right>
      <top/>
      <bottom style="hair">
        <color indexed="13"/>
      </bottom>
      <diagonal/>
    </border>
    <border>
      <left style="hair">
        <color indexed="13"/>
      </left>
      <right style="hair">
        <color indexed="13"/>
      </right>
      <top/>
      <bottom/>
      <diagonal/>
    </border>
  </borders>
  <cellStyleXfs count="94">
    <xf numFmtId="0" fontId="0" fillId="0" borderId="0"/>
    <xf numFmtId="0" fontId="26" fillId="43"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5" borderId="0" applyNumberFormat="0" applyBorder="0" applyAlignment="0" applyProtection="0"/>
    <xf numFmtId="0" fontId="6" fillId="59" borderId="0" applyNumberFormat="0" applyBorder="0" applyAlignment="0" applyProtection="0"/>
    <xf numFmtId="0" fontId="26" fillId="42" borderId="0" applyNumberFormat="0" applyBorder="0" applyAlignment="0" applyProtection="0"/>
    <xf numFmtId="0" fontId="28" fillId="45" borderId="0" applyNumberFormat="0" applyBorder="0" applyAlignment="0" applyProtection="0"/>
    <xf numFmtId="0" fontId="26" fillId="48"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6" fillId="58"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0" fontId="2" fillId="57"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8" fillId="56" borderId="0" applyNumberFormat="0" applyBorder="0" applyAlignment="0" applyProtection="0"/>
    <xf numFmtId="0" fontId="3" fillId="10" borderId="0" applyNumberFormat="0" applyBorder="0" applyAlignment="0" applyProtection="0"/>
    <xf numFmtId="0" fontId="3" fillId="11" borderId="4" applyNumberFormat="0" applyAlignment="0" applyProtection="0"/>
    <xf numFmtId="0" fontId="8" fillId="12" borderId="0" applyNumberFormat="0" applyAlignment="0" applyProtection="0"/>
    <xf numFmtId="0" fontId="2" fillId="0" borderId="1" applyNumberFormat="0" applyAlignment="0"/>
    <xf numFmtId="0" fontId="2" fillId="66" borderId="1" applyNumberFormat="0" applyAlignment="0"/>
    <xf numFmtId="0" fontId="2" fillId="67" borderId="1" applyNumberFormat="0" applyAlignment="0"/>
    <xf numFmtId="0" fontId="2" fillId="63" borderId="1" applyNumberFormat="0" applyAlignment="0"/>
    <xf numFmtId="0" fontId="30" fillId="64" borderId="1" applyNumberFormat="0" applyAlignment="0"/>
    <xf numFmtId="3" fontId="2" fillId="2" borderId="1" applyNumberFormat="0" applyFont="0" applyAlignment="0">
      <protection locked="0"/>
    </xf>
    <xf numFmtId="0" fontId="2" fillId="3" borderId="1" applyNumberFormat="0" applyFont="0" applyAlignment="0"/>
    <xf numFmtId="3" fontId="2" fillId="4" borderId="1" applyNumberFormat="0" applyFont="0" applyAlignment="0">
      <protection locked="0"/>
    </xf>
    <xf numFmtId="1" fontId="3" fillId="0" borderId="1" applyNumberFormat="0" applyFont="0" applyAlignment="0">
      <protection locked="0"/>
    </xf>
    <xf numFmtId="0" fontId="21" fillId="0" borderId="10" applyNumberFormat="0" applyFill="0" applyAlignment="0"/>
    <xf numFmtId="0" fontId="20" fillId="0" borderId="9" applyNumberFormat="0" applyFill="0" applyAlignment="0"/>
    <xf numFmtId="0" fontId="22" fillId="0" borderId="8" applyNumberFormat="0" applyFill="0" applyAlignment="0"/>
    <xf numFmtId="0" fontId="25" fillId="0" borderId="2" applyNumberFormat="0" applyAlignment="0"/>
    <xf numFmtId="0" fontId="24" fillId="0" borderId="3" applyNumberFormat="0">
      <alignment wrapText="1"/>
    </xf>
    <xf numFmtId="0" fontId="29" fillId="40" borderId="0" applyNumberFormat="0" applyBorder="0">
      <alignment wrapText="1"/>
    </xf>
    <xf numFmtId="0" fontId="23" fillId="0" borderId="11" applyNumberFormat="0">
      <alignment wrapText="1"/>
    </xf>
    <xf numFmtId="0" fontId="27" fillId="68" borderId="0" applyNumberFormat="0" applyBorder="0" applyAlignment="0">
      <protection locked="0"/>
    </xf>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13"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6" applyNumberFormat="0" applyFill="0" applyAlignment="0" applyProtection="0"/>
    <xf numFmtId="0" fontId="14" fillId="0" borderId="0" applyNumberFormat="0" applyBorder="0" applyAlignment="0" applyProtection="0"/>
    <xf numFmtId="0" fontId="15" fillId="0" borderId="0" applyNumberFormat="0" applyFill="0" applyBorder="0" applyAlignment="0" applyProtection="0">
      <alignment vertical="top"/>
      <protection locked="0"/>
    </xf>
    <xf numFmtId="0" fontId="3" fillId="2" borderId="0" applyNumberFormat="0" applyAlignment="0" applyProtection="0"/>
    <xf numFmtId="0" fontId="2" fillId="14" borderId="0" applyNumberFormat="0" applyAlignment="0" applyProtection="0"/>
    <xf numFmtId="0" fontId="6" fillId="15" borderId="0" applyNumberFormat="0" applyBorder="0" applyAlignment="0" applyProtection="0"/>
    <xf numFmtId="0" fontId="9" fillId="0" borderId="0" applyNumberFormat="0" applyAlignment="0" applyProtection="0"/>
    <xf numFmtId="0" fontId="16" fillId="16" borderId="0" applyNumberFormat="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 fillId="3"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2" fillId="4" borderId="0" applyNumberFormat="0" applyBorder="0" applyAlignment="0" applyProtection="0"/>
    <xf numFmtId="0" fontId="31" fillId="0" borderId="0"/>
    <xf numFmtId="0" fontId="32" fillId="0" borderId="0"/>
    <xf numFmtId="0" fontId="33" fillId="0" borderId="0">
      <alignment horizontal="right"/>
    </xf>
    <xf numFmtId="0" fontId="34" fillId="0" borderId="0"/>
    <xf numFmtId="0" fontId="29" fillId="69" borderId="1"/>
    <xf numFmtId="43" fontId="25" fillId="0" borderId="0" applyFont="0" applyFill="0" applyBorder="0" applyAlignment="0" applyProtection="0"/>
    <xf numFmtId="9" fontId="25" fillId="0" borderId="0" applyFont="0" applyFill="0" applyBorder="0" applyAlignment="0" applyProtection="0"/>
    <xf numFmtId="0" fontId="1" fillId="0" borderId="0"/>
    <xf numFmtId="0" fontId="46" fillId="0" borderId="0" applyNumberFormat="0" applyFill="0" applyBorder="0" applyAlignment="0" applyProtection="0"/>
  </cellStyleXfs>
  <cellXfs count="286">
    <xf numFmtId="0" fontId="0" fillId="0" borderId="0" xfId="0"/>
    <xf numFmtId="0" fontId="20" fillId="0" borderId="9" xfId="38"/>
    <xf numFmtId="0" fontId="21" fillId="0" borderId="10" xfId="37"/>
    <xf numFmtId="0" fontId="2" fillId="0" borderId="0" xfId="0" applyFont="1"/>
    <xf numFmtId="0" fontId="4" fillId="0" borderId="0" xfId="0" applyFont="1"/>
    <xf numFmtId="0" fontId="22" fillId="0" borderId="8" xfId="39"/>
    <xf numFmtId="0" fontId="24" fillId="0" borderId="3" xfId="41">
      <alignment wrapText="1"/>
    </xf>
    <xf numFmtId="0" fontId="0" fillId="0" borderId="1" xfId="36" applyNumberFormat="1" applyFont="1">
      <protection locked="0"/>
    </xf>
    <xf numFmtId="0" fontId="0" fillId="65" borderId="0" xfId="0" applyFill="1"/>
    <xf numFmtId="0" fontId="29" fillId="40" borderId="0" xfId="42">
      <alignment wrapText="1"/>
    </xf>
    <xf numFmtId="0" fontId="23" fillId="0" borderId="11" xfId="43">
      <alignment wrapText="1"/>
    </xf>
    <xf numFmtId="0" fontId="23" fillId="0" borderId="11" xfId="43" applyAlignment="1"/>
    <xf numFmtId="0" fontId="25" fillId="0" borderId="2" xfId="40"/>
    <xf numFmtId="0" fontId="0" fillId="0" borderId="2" xfId="40" applyFont="1"/>
    <xf numFmtId="0" fontId="0" fillId="2" borderId="1" xfId="33" applyNumberFormat="1" applyFont="1">
      <protection locked="0"/>
    </xf>
    <xf numFmtId="0" fontId="0" fillId="3" borderId="1" xfId="34" applyFont="1"/>
    <xf numFmtId="0" fontId="0" fillId="4" borderId="1" xfId="35" applyNumberFormat="1" applyFont="1">
      <protection locked="0"/>
    </xf>
    <xf numFmtId="0" fontId="27" fillId="68" borderId="0" xfId="44">
      <protection locked="0"/>
    </xf>
    <xf numFmtId="0" fontId="0" fillId="0" borderId="12" xfId="40" applyFont="1" applyBorder="1"/>
    <xf numFmtId="3" fontId="25" fillId="0" borderId="2" xfId="40" applyNumberFormat="1"/>
    <xf numFmtId="3" fontId="25" fillId="66" borderId="1" xfId="29" applyNumberFormat="1" applyFont="1"/>
    <xf numFmtId="3" fontId="25" fillId="67" borderId="1" xfId="30" applyNumberFormat="1" applyFont="1"/>
    <xf numFmtId="3" fontId="25" fillId="63" borderId="1" xfId="31" applyNumberFormat="1" applyFont="1"/>
    <xf numFmtId="3" fontId="25" fillId="64" borderId="1" xfId="32" applyNumberFormat="1" applyFont="1"/>
    <xf numFmtId="0" fontId="0" fillId="66" borderId="1" xfId="29" applyFont="1"/>
    <xf numFmtId="0" fontId="0" fillId="67" borderId="1" xfId="30" applyFont="1"/>
    <xf numFmtId="0" fontId="0" fillId="63" borderId="1" xfId="31" applyFont="1"/>
    <xf numFmtId="0" fontId="0" fillId="64" borderId="1" xfId="32" applyFont="1"/>
    <xf numFmtId="0" fontId="30" fillId="0" borderId="0" xfId="0" applyFont="1"/>
    <xf numFmtId="0" fontId="28" fillId="5" borderId="0" xfId="19"/>
    <xf numFmtId="0" fontId="30" fillId="41" borderId="0" xfId="0" applyFont="1" applyFill="1"/>
    <xf numFmtId="0" fontId="30" fillId="42" borderId="0" xfId="0" applyFont="1" applyFill="1"/>
    <xf numFmtId="0" fontId="30" fillId="43" borderId="0" xfId="0" applyFont="1" applyFill="1"/>
    <xf numFmtId="0" fontId="30" fillId="60" borderId="0" xfId="0" applyFont="1" applyFill="1"/>
    <xf numFmtId="0" fontId="30" fillId="0" borderId="1" xfId="36" applyNumberFormat="1" applyFont="1">
      <protection locked="0"/>
    </xf>
    <xf numFmtId="1" fontId="30" fillId="0" borderId="1" xfId="36" applyNumberFormat="1" applyFont="1">
      <protection locked="0"/>
    </xf>
    <xf numFmtId="0" fontId="28" fillId="6" borderId="0" xfId="20"/>
    <xf numFmtId="0" fontId="30" fillId="61" borderId="0" xfId="0" applyFont="1" applyFill="1"/>
    <xf numFmtId="0" fontId="30" fillId="45" borderId="0" xfId="0" applyFont="1" applyFill="1"/>
    <xf numFmtId="0" fontId="30" fillId="46" borderId="0" xfId="0" applyFont="1" applyFill="1"/>
    <xf numFmtId="0" fontId="30" fillId="62" borderId="0" xfId="0" applyFont="1" applyFill="1"/>
    <xf numFmtId="0" fontId="7" fillId="7" borderId="0" xfId="21"/>
    <xf numFmtId="0" fontId="30" fillId="47" borderId="0" xfId="0" applyFont="1" applyFill="1"/>
    <xf numFmtId="0" fontId="30" fillId="48" borderId="0" xfId="0" applyFont="1" applyFill="1"/>
    <xf numFmtId="0" fontId="30" fillId="49" borderId="0" xfId="0" applyFont="1" applyFill="1"/>
    <xf numFmtId="0" fontId="30" fillId="63" borderId="0" xfId="0" applyFont="1" applyFill="1"/>
    <xf numFmtId="0" fontId="2" fillId="8" borderId="0" xfId="22"/>
    <xf numFmtId="0" fontId="30" fillId="50" borderId="0" xfId="0" applyFont="1" applyFill="1"/>
    <xf numFmtId="0" fontId="30" fillId="51" borderId="0" xfId="0" applyFont="1" applyFill="1"/>
    <xf numFmtId="0" fontId="30" fillId="52" borderId="0" xfId="0" applyFont="1" applyFill="1"/>
    <xf numFmtId="0" fontId="30" fillId="64" borderId="0" xfId="0" applyFont="1" applyFill="1"/>
    <xf numFmtId="0" fontId="2" fillId="9" borderId="0" xfId="23"/>
    <xf numFmtId="0" fontId="30" fillId="53" borderId="0" xfId="0" applyFont="1" applyFill="1"/>
    <xf numFmtId="0" fontId="30" fillId="54" borderId="0" xfId="0" applyFont="1" applyFill="1"/>
    <xf numFmtId="0" fontId="30" fillId="55" borderId="0" xfId="0" applyFont="1" applyFill="1"/>
    <xf numFmtId="0" fontId="31" fillId="0" borderId="0" xfId="85"/>
    <xf numFmtId="0" fontId="32" fillId="0" borderId="0" xfId="86"/>
    <xf numFmtId="0" fontId="33" fillId="0" borderId="0" xfId="87">
      <alignment horizontal="right"/>
    </xf>
    <xf numFmtId="0" fontId="34" fillId="0" borderId="0" xfId="88"/>
    <xf numFmtId="0" fontId="29" fillId="69" borderId="1" xfId="89"/>
    <xf numFmtId="0" fontId="37" fillId="0" borderId="0" xfId="0" applyFont="1"/>
    <xf numFmtId="0" fontId="38" fillId="0" borderId="0" xfId="0" applyFont="1" applyAlignment="1">
      <alignment horizontal="center"/>
    </xf>
    <xf numFmtId="0" fontId="40" fillId="0" borderId="0" xfId="0" applyFont="1"/>
    <xf numFmtId="0" fontId="40" fillId="0" borderId="18" xfId="0" applyFont="1" applyBorder="1" applyAlignment="1">
      <alignment horizontal="right"/>
    </xf>
    <xf numFmtId="0" fontId="40" fillId="0" borderId="19" xfId="0" applyFont="1" applyBorder="1" applyAlignment="1">
      <alignment horizontal="right"/>
    </xf>
    <xf numFmtId="0" fontId="40" fillId="0" borderId="20" xfId="0" applyFont="1" applyBorder="1" applyAlignment="1">
      <alignment horizontal="right"/>
    </xf>
    <xf numFmtId="0" fontId="41" fillId="0" borderId="0" xfId="0" applyFont="1"/>
    <xf numFmtId="165" fontId="0" fillId="0" borderId="0" xfId="90" applyNumberFormat="1" applyFont="1"/>
    <xf numFmtId="0" fontId="24" fillId="0" borderId="0" xfId="0" applyFont="1"/>
    <xf numFmtId="164" fontId="0" fillId="0" borderId="0" xfId="0" applyNumberFormat="1"/>
    <xf numFmtId="0" fontId="40" fillId="0" borderId="0" xfId="0" applyFont="1" applyAlignment="1">
      <alignment horizontal="center"/>
    </xf>
    <xf numFmtId="0" fontId="36" fillId="0" borderId="0" xfId="0" applyFont="1" applyAlignment="1">
      <alignment horizontal="center"/>
    </xf>
    <xf numFmtId="0" fontId="44" fillId="0" borderId="0" xfId="0" applyFont="1"/>
    <xf numFmtId="0" fontId="37" fillId="0" borderId="25" xfId="0" applyFont="1" applyBorder="1"/>
    <xf numFmtId="0" fontId="37" fillId="0" borderId="26" xfId="0" applyFont="1" applyBorder="1"/>
    <xf numFmtId="0" fontId="37" fillId="0" borderId="27" xfId="0" applyFont="1" applyBorder="1"/>
    <xf numFmtId="2" fontId="30" fillId="64" borderId="1" xfId="32" applyNumberFormat="1"/>
    <xf numFmtId="0" fontId="40" fillId="0" borderId="18" xfId="0" applyFont="1" applyBorder="1"/>
    <xf numFmtId="0" fontId="40" fillId="0" borderId="19" xfId="0" applyFont="1" applyBorder="1"/>
    <xf numFmtId="0" fontId="40" fillId="0" borderId="20" xfId="0" applyFont="1" applyBorder="1"/>
    <xf numFmtId="43" fontId="37" fillId="0" borderId="21" xfId="90" applyFont="1" applyFill="1" applyBorder="1" applyAlignment="1">
      <alignment horizontal="right"/>
    </xf>
    <xf numFmtId="43" fontId="37" fillId="0" borderId="0" xfId="90" applyFont="1" applyAlignment="1">
      <alignment horizontal="right"/>
    </xf>
    <xf numFmtId="43" fontId="37" fillId="0" borderId="22" xfId="90" applyFont="1" applyBorder="1" applyAlignment="1">
      <alignment horizontal="right"/>
    </xf>
    <xf numFmtId="43" fontId="37" fillId="0" borderId="21" xfId="90" applyFont="1" applyBorder="1" applyAlignment="1">
      <alignment horizontal="right"/>
    </xf>
    <xf numFmtId="43" fontId="39" fillId="0" borderId="21" xfId="90" applyFont="1" applyFill="1" applyBorder="1" applyAlignment="1">
      <alignment horizontal="right" vertical="center" wrapText="1"/>
    </xf>
    <xf numFmtId="43" fontId="37" fillId="0" borderId="13" xfId="90" applyFont="1" applyBorder="1"/>
    <xf numFmtId="43" fontId="37" fillId="0" borderId="24" xfId="90" applyFont="1" applyBorder="1"/>
    <xf numFmtId="43" fontId="37" fillId="0" borderId="23" xfId="90" applyFont="1" applyBorder="1"/>
    <xf numFmtId="43" fontId="37" fillId="0" borderId="23" xfId="90" applyFont="1" applyFill="1" applyBorder="1" applyAlignment="1">
      <alignment horizontal="right"/>
    </xf>
    <xf numFmtId="43" fontId="37" fillId="0" borderId="13" xfId="90" applyFont="1" applyBorder="1" applyAlignment="1">
      <alignment horizontal="right"/>
    </xf>
    <xf numFmtId="43" fontId="37" fillId="0" borderId="24" xfId="90" applyFont="1" applyBorder="1" applyAlignment="1">
      <alignment horizontal="right"/>
    </xf>
    <xf numFmtId="43" fontId="37" fillId="0" borderId="23" xfId="90" applyFont="1" applyBorder="1" applyAlignment="1">
      <alignment horizontal="right"/>
    </xf>
    <xf numFmtId="43" fontId="37" fillId="0" borderId="21" xfId="90" applyFont="1" applyBorder="1"/>
    <xf numFmtId="43" fontId="37" fillId="0" borderId="0" xfId="90" applyFont="1"/>
    <xf numFmtId="43" fontId="37" fillId="0" borderId="22" xfId="90" applyFont="1" applyBorder="1"/>
    <xf numFmtId="43" fontId="37" fillId="0" borderId="13" xfId="90" applyFont="1" applyBorder="1" applyAlignment="1">
      <alignment horizontal="center" vertical="center"/>
    </xf>
    <xf numFmtId="0" fontId="29" fillId="40" borderId="0" xfId="42" applyAlignment="1">
      <alignment horizontal="center" vertical="center" wrapText="1"/>
    </xf>
    <xf numFmtId="10" fontId="4" fillId="2" borderId="1" xfId="33" applyNumberFormat="1" applyFont="1" applyAlignment="1">
      <alignment vertical="center"/>
      <protection locked="0"/>
    </xf>
    <xf numFmtId="9" fontId="30" fillId="64" borderId="1" xfId="32" applyNumberFormat="1" applyAlignment="1">
      <alignment horizontal="right"/>
    </xf>
    <xf numFmtId="0" fontId="0" fillId="0" borderId="0" xfId="0" applyAlignment="1">
      <alignment vertical="center"/>
    </xf>
    <xf numFmtId="166" fontId="0" fillId="2" borderId="1" xfId="33" applyNumberFormat="1" applyFont="1" applyAlignment="1">
      <alignment vertical="center"/>
      <protection locked="0"/>
    </xf>
    <xf numFmtId="0" fontId="2" fillId="0" borderId="1" xfId="36" applyNumberFormat="1" applyFont="1" applyAlignment="1">
      <alignment horizontal="left" vertical="center" wrapText="1"/>
      <protection locked="0"/>
    </xf>
    <xf numFmtId="0" fontId="24" fillId="0" borderId="1" xfId="36" applyNumberFormat="1" applyFont="1" applyAlignment="1">
      <alignment horizontal="left" vertical="center"/>
      <protection locked="0"/>
    </xf>
    <xf numFmtId="2" fontId="0" fillId="2" borderId="1" xfId="33" applyNumberFormat="1" applyFont="1">
      <protection locked="0"/>
    </xf>
    <xf numFmtId="9" fontId="0" fillId="2" borderId="1" xfId="91" applyFont="1" applyFill="1" applyBorder="1" applyProtection="1">
      <protection locked="0"/>
    </xf>
    <xf numFmtId="0" fontId="0" fillId="0" borderId="0" xfId="0" applyAlignment="1">
      <alignment horizontal="left" indent="1"/>
    </xf>
    <xf numFmtId="0" fontId="0" fillId="0" borderId="0" xfId="0" applyAlignment="1">
      <alignment horizontal="left" indent="2"/>
    </xf>
    <xf numFmtId="43" fontId="0" fillId="2" borderId="1" xfId="33" applyNumberFormat="1" applyFont="1">
      <protection locked="0"/>
    </xf>
    <xf numFmtId="9" fontId="0" fillId="0" borderId="0" xfId="91" applyFont="1"/>
    <xf numFmtId="9" fontId="30" fillId="64" borderId="1" xfId="32" applyNumberFormat="1"/>
    <xf numFmtId="43" fontId="30" fillId="64" borderId="1" xfId="32" applyNumberFormat="1"/>
    <xf numFmtId="0" fontId="30" fillId="64" borderId="1" xfId="32"/>
    <xf numFmtId="43" fontId="4" fillId="64" borderId="1" xfId="32" applyNumberFormat="1" applyFont="1"/>
    <xf numFmtId="0" fontId="4" fillId="64" borderId="1" xfId="32" applyFont="1"/>
    <xf numFmtId="9" fontId="47" fillId="64" borderId="1" xfId="32" applyNumberFormat="1" applyFont="1"/>
    <xf numFmtId="43" fontId="47" fillId="64" borderId="1" xfId="32" applyNumberFormat="1" applyFont="1"/>
    <xf numFmtId="43" fontId="48" fillId="2" borderId="1" xfId="33" applyNumberFormat="1" applyFont="1">
      <protection locked="0"/>
    </xf>
    <xf numFmtId="0" fontId="48" fillId="0" borderId="0" xfId="0" applyFont="1" applyAlignment="1">
      <alignment horizontal="left" indent="3"/>
    </xf>
    <xf numFmtId="43" fontId="24" fillId="2" borderId="1" xfId="33" applyNumberFormat="1" applyFont="1">
      <protection locked="0"/>
    </xf>
    <xf numFmtId="0" fontId="2" fillId="63" borderId="1" xfId="31"/>
    <xf numFmtId="165" fontId="2" fillId="64" borderId="1" xfId="90" applyNumberFormat="1" applyFont="1" applyFill="1" applyBorder="1"/>
    <xf numFmtId="2" fontId="2" fillId="63" borderId="1" xfId="31" applyNumberFormat="1"/>
    <xf numFmtId="166" fontId="2" fillId="2" borderId="28" xfId="33" applyNumberFormat="1" applyBorder="1" applyAlignment="1">
      <alignment horizontal="center" vertical="center"/>
      <protection locked="0"/>
    </xf>
    <xf numFmtId="166" fontId="2" fillId="2" borderId="29" xfId="33" applyNumberFormat="1" applyBorder="1" applyAlignment="1">
      <alignment horizontal="center" vertical="center"/>
      <protection locked="0"/>
    </xf>
    <xf numFmtId="10" fontId="2" fillId="2" borderId="28" xfId="33" applyNumberFormat="1" applyFont="1" applyBorder="1" applyAlignment="1">
      <alignment horizontal="center" vertical="center" wrapText="1"/>
      <protection locked="0"/>
    </xf>
    <xf numFmtId="10" fontId="2" fillId="2" borderId="29" xfId="33" applyNumberFormat="1" applyFont="1" applyBorder="1" applyAlignment="1">
      <alignment horizontal="center" vertical="center" wrapText="1"/>
      <protection locked="0"/>
    </xf>
    <xf numFmtId="0" fontId="49" fillId="0" borderId="0" xfId="0" applyFont="1" applyAlignment="1">
      <alignment horizontal="left" vertical="center"/>
    </xf>
    <xf numFmtId="0" fontId="50" fillId="0" borderId="0" xfId="0" applyFont="1" applyAlignment="1">
      <alignment horizontal="left" vertical="center"/>
    </xf>
    <xf numFmtId="0" fontId="51" fillId="73" borderId="30" xfId="0" applyFont="1" applyFill="1" applyBorder="1" applyAlignment="1">
      <alignment horizontal="right" vertical="center"/>
    </xf>
    <xf numFmtId="0" fontId="51" fillId="73" borderId="30" xfId="0" applyFont="1" applyFill="1" applyBorder="1" applyAlignment="1">
      <alignment horizontal="left" vertical="center"/>
    </xf>
    <xf numFmtId="0" fontId="50" fillId="74" borderId="30" xfId="0" applyFont="1" applyFill="1" applyBorder="1" applyAlignment="1">
      <alignment horizontal="left" vertical="center"/>
    </xf>
    <xf numFmtId="0" fontId="50" fillId="76" borderId="30" xfId="0" applyFont="1" applyFill="1" applyBorder="1" applyAlignment="1">
      <alignment horizontal="left" vertical="center"/>
    </xf>
    <xf numFmtId="167" fontId="49" fillId="77" borderId="0" xfId="0" applyNumberFormat="1" applyFont="1" applyFill="1" applyAlignment="1">
      <alignment horizontal="right" vertical="center" shrinkToFit="1"/>
    </xf>
    <xf numFmtId="167" fontId="49" fillId="0" borderId="0" xfId="0" applyNumberFormat="1" applyFont="1" applyAlignment="1">
      <alignment horizontal="right" vertical="center" shrinkToFit="1"/>
    </xf>
    <xf numFmtId="168" fontId="49" fillId="0" borderId="0" xfId="0" applyNumberFormat="1" applyFont="1" applyAlignment="1">
      <alignment horizontal="right" vertical="center" shrinkToFit="1"/>
    </xf>
    <xf numFmtId="9" fontId="49" fillId="77" borderId="0" xfId="91" applyFont="1" applyFill="1" applyAlignment="1">
      <alignment horizontal="right" vertical="center" shrinkToFit="1"/>
    </xf>
    <xf numFmtId="0" fontId="49" fillId="0" borderId="0" xfId="0" applyFont="1"/>
    <xf numFmtId="0" fontId="49" fillId="75" borderId="0" xfId="0" applyFont="1" applyFill="1"/>
    <xf numFmtId="0" fontId="52" fillId="40" borderId="30" xfId="42" applyFont="1" applyBorder="1">
      <alignment wrapText="1"/>
    </xf>
    <xf numFmtId="10" fontId="30" fillId="64" borderId="1" xfId="91" applyNumberFormat="1" applyFont="1" applyFill="1" applyBorder="1"/>
    <xf numFmtId="0" fontId="21" fillId="0" borderId="10" xfId="37" applyAlignment="1">
      <alignment vertical="center"/>
    </xf>
    <xf numFmtId="0" fontId="20" fillId="0" borderId="9" xfId="38" applyAlignment="1">
      <alignment vertical="center"/>
    </xf>
    <xf numFmtId="0" fontId="22" fillId="0" borderId="8" xfId="39" applyAlignment="1">
      <alignment vertical="center"/>
    </xf>
    <xf numFmtId="0" fontId="29" fillId="40" borderId="0" xfId="42" applyAlignment="1">
      <alignment vertical="center" wrapText="1"/>
    </xf>
    <xf numFmtId="0" fontId="2" fillId="0" borderId="1" xfId="36" applyNumberFormat="1" applyFont="1" applyAlignment="1">
      <alignment vertical="center"/>
      <protection locked="0"/>
    </xf>
    <xf numFmtId="165" fontId="30" fillId="2" borderId="1" xfId="90" applyNumberFormat="1" applyFont="1" applyFill="1" applyBorder="1" applyAlignment="1" applyProtection="1">
      <alignment vertical="center"/>
      <protection locked="0"/>
    </xf>
    <xf numFmtId="165" fontId="0" fillId="0" borderId="0" xfId="0" applyNumberFormat="1"/>
    <xf numFmtId="0" fontId="54" fillId="0" borderId="0" xfId="0" applyFont="1"/>
    <xf numFmtId="169" fontId="0" fillId="2" borderId="1" xfId="90" applyNumberFormat="1" applyFont="1" applyFill="1" applyBorder="1" applyAlignment="1" applyProtection="1">
      <alignment vertical="center"/>
      <protection locked="0"/>
    </xf>
    <xf numFmtId="165" fontId="0" fillId="2" borderId="1" xfId="90" applyNumberFormat="1" applyFont="1" applyFill="1" applyBorder="1" applyAlignment="1" applyProtection="1">
      <alignment vertical="center"/>
      <protection locked="0"/>
    </xf>
    <xf numFmtId="0" fontId="0" fillId="0" borderId="31" xfId="0" applyBorder="1" applyAlignment="1">
      <alignment horizontal="left" vertical="center" wrapText="1"/>
    </xf>
    <xf numFmtId="0" fontId="24" fillId="0" borderId="31" xfId="0" applyFont="1" applyBorder="1" applyAlignment="1">
      <alignment horizontal="left" vertical="center" wrapText="1"/>
    </xf>
    <xf numFmtId="0" fontId="48" fillId="0" borderId="31" xfId="0" applyFont="1" applyBorder="1" applyAlignment="1">
      <alignment horizontal="left" vertical="center" wrapText="1"/>
    </xf>
    <xf numFmtId="169" fontId="0" fillId="64" borderId="1" xfId="32" applyNumberFormat="1" applyFont="1"/>
    <xf numFmtId="170" fontId="0" fillId="64" borderId="1" xfId="32" applyNumberFormat="1" applyFont="1"/>
    <xf numFmtId="0" fontId="0" fillId="0" borderId="1" xfId="36" applyNumberFormat="1" applyFont="1" applyAlignment="1">
      <alignment vertical="center"/>
      <protection locked="0"/>
    </xf>
    <xf numFmtId="166" fontId="0" fillId="64" borderId="1" xfId="32" applyNumberFormat="1" applyFont="1" applyAlignment="1">
      <alignment vertical="center"/>
    </xf>
    <xf numFmtId="165" fontId="0" fillId="64" borderId="1" xfId="32" applyNumberFormat="1" applyFont="1" applyAlignment="1">
      <alignment vertical="center"/>
    </xf>
    <xf numFmtId="10" fontId="0" fillId="64" borderId="1" xfId="91" applyNumberFormat="1" applyFont="1" applyFill="1" applyBorder="1"/>
    <xf numFmtId="43" fontId="0" fillId="64" borderId="1" xfId="32" applyNumberFormat="1" applyFont="1"/>
    <xf numFmtId="165" fontId="0" fillId="64" borderId="1" xfId="90" applyNumberFormat="1" applyFont="1" applyFill="1" applyBorder="1"/>
    <xf numFmtId="43" fontId="0" fillId="83" borderId="1" xfId="32" applyNumberFormat="1" applyFont="1" applyFill="1"/>
    <xf numFmtId="165" fontId="0" fillId="84" borderId="1" xfId="90" applyNumberFormat="1" applyFont="1" applyFill="1" applyBorder="1" applyAlignment="1" applyProtection="1">
      <alignment vertical="center"/>
      <protection locked="0"/>
    </xf>
    <xf numFmtId="0" fontId="24" fillId="0" borderId="0" xfId="0" applyFont="1" applyAlignment="1">
      <alignment vertical="center"/>
    </xf>
    <xf numFmtId="0" fontId="15" fillId="0" borderId="0" xfId="52" applyAlignment="1" applyProtection="1"/>
    <xf numFmtId="1" fontId="0" fillId="0" borderId="0" xfId="0" applyNumberFormat="1"/>
    <xf numFmtId="171" fontId="0" fillId="0" borderId="0" xfId="0" applyNumberFormat="1"/>
    <xf numFmtId="0" fontId="24" fillId="0" borderId="33" xfId="0" applyFont="1" applyBorder="1" applyAlignment="1">
      <alignment vertical="center"/>
    </xf>
    <xf numFmtId="1" fontId="0" fillId="0" borderId="33" xfId="0" applyNumberFormat="1" applyBorder="1"/>
    <xf numFmtId="166" fontId="0" fillId="0" borderId="0" xfId="90" applyNumberFormat="1" applyFont="1" applyBorder="1"/>
    <xf numFmtId="166" fontId="0" fillId="0" borderId="0" xfId="0" applyNumberFormat="1"/>
    <xf numFmtId="0" fontId="24" fillId="0" borderId="13" xfId="0" applyFont="1" applyBorder="1" applyAlignment="1">
      <alignment vertical="center"/>
    </xf>
    <xf numFmtId="166" fontId="0" fillId="0" borderId="13" xfId="90" applyNumberFormat="1" applyFont="1" applyBorder="1"/>
    <xf numFmtId="166" fontId="0" fillId="0" borderId="13" xfId="0" applyNumberFormat="1" applyBorder="1"/>
    <xf numFmtId="0" fontId="24" fillId="0" borderId="19" xfId="0" applyFont="1" applyBorder="1" applyAlignment="1">
      <alignment vertical="center"/>
    </xf>
    <xf numFmtId="1" fontId="0" fillId="0" borderId="19" xfId="0" applyNumberFormat="1" applyBorder="1"/>
    <xf numFmtId="43" fontId="25" fillId="2" borderId="1" xfId="33" applyNumberFormat="1" applyFont="1">
      <protection locked="0"/>
    </xf>
    <xf numFmtId="172" fontId="25" fillId="2" borderId="1" xfId="33" applyNumberFormat="1" applyFont="1">
      <protection locked="0"/>
    </xf>
    <xf numFmtId="172" fontId="30" fillId="64" borderId="1" xfId="32" applyNumberFormat="1"/>
    <xf numFmtId="172" fontId="0" fillId="64" borderId="1" xfId="32" applyNumberFormat="1" applyFont="1"/>
    <xf numFmtId="0" fontId="0" fillId="0" borderId="0" xfId="0" applyAlignment="1">
      <alignment horizontal="left"/>
    </xf>
    <xf numFmtId="0" fontId="24" fillId="0" borderId="0" xfId="0" applyFont="1" applyAlignment="1">
      <alignment horizontal="left" indent="1"/>
    </xf>
    <xf numFmtId="172" fontId="55" fillId="64" borderId="1" xfId="32" applyNumberFormat="1" applyFont="1"/>
    <xf numFmtId="172" fontId="24" fillId="64" borderId="1" xfId="90" applyNumberFormat="1" applyFont="1" applyFill="1" applyBorder="1"/>
    <xf numFmtId="172" fontId="24" fillId="64" borderId="1" xfId="32" applyNumberFormat="1" applyFont="1"/>
    <xf numFmtId="170" fontId="0" fillId="0" borderId="0" xfId="0" applyNumberFormat="1"/>
    <xf numFmtId="170" fontId="2" fillId="14" borderId="0" xfId="54" applyNumberFormat="1"/>
    <xf numFmtId="173" fontId="0" fillId="2" borderId="1" xfId="33" applyNumberFormat="1" applyFont="1">
      <protection locked="0"/>
    </xf>
    <xf numFmtId="174" fontId="30" fillId="64" borderId="1" xfId="32" applyNumberFormat="1"/>
    <xf numFmtId="176" fontId="30" fillId="64" borderId="1" xfId="32" applyNumberFormat="1" applyAlignment="1">
      <alignment vertical="center"/>
    </xf>
    <xf numFmtId="170" fontId="30" fillId="64" borderId="1" xfId="32" applyNumberFormat="1"/>
    <xf numFmtId="169" fontId="30" fillId="64" borderId="1" xfId="32" applyNumberFormat="1"/>
    <xf numFmtId="10" fontId="2" fillId="14" borderId="0" xfId="54" applyNumberFormat="1" applyProtection="1">
      <protection locked="0"/>
    </xf>
    <xf numFmtId="2" fontId="0" fillId="2" borderId="1" xfId="33" applyNumberFormat="1" applyFont="1" applyAlignment="1">
      <alignment horizontal="right"/>
      <protection locked="0"/>
    </xf>
    <xf numFmtId="2" fontId="42" fillId="2" borderId="1" xfId="33" applyNumberFormat="1" applyFont="1" applyAlignment="1">
      <alignment horizontal="right"/>
      <protection locked="0"/>
    </xf>
    <xf numFmtId="2" fontId="43" fillId="2" borderId="1" xfId="33" applyNumberFormat="1" applyFont="1" applyAlignment="1">
      <alignment horizontal="right"/>
      <protection locked="0"/>
    </xf>
    <xf numFmtId="0" fontId="35" fillId="0" borderId="0" xfId="0" applyFont="1" applyAlignment="1">
      <alignment horizontal="center"/>
    </xf>
    <xf numFmtId="0" fontId="29" fillId="40" borderId="0" xfId="42" applyBorder="1" applyAlignment="1">
      <alignment horizontal="center" wrapText="1"/>
    </xf>
    <xf numFmtId="2" fontId="0" fillId="0" borderId="0" xfId="0" applyNumberFormat="1" applyAlignment="1">
      <alignment horizontal="right"/>
    </xf>
    <xf numFmtId="9" fontId="30" fillId="64" borderId="0" xfId="32" applyNumberFormat="1" applyBorder="1" applyAlignment="1">
      <alignment horizontal="right"/>
    </xf>
    <xf numFmtId="2" fontId="0" fillId="0" borderId="0" xfId="0" applyNumberFormat="1"/>
    <xf numFmtId="0" fontId="48" fillId="0" borderId="0" xfId="0" applyFont="1"/>
    <xf numFmtId="0" fontId="39" fillId="0" borderId="0" xfId="0" applyFont="1" applyAlignment="1">
      <alignment horizontal="right" vertical="center"/>
    </xf>
    <xf numFmtId="1" fontId="37" fillId="2" borderId="1" xfId="33" applyNumberFormat="1" applyFont="1" applyAlignment="1">
      <alignment horizontal="right"/>
      <protection locked="0"/>
    </xf>
    <xf numFmtId="1" fontId="39" fillId="2" borderId="1" xfId="33" applyNumberFormat="1" applyFont="1" applyAlignment="1">
      <alignment horizontal="right" vertical="center"/>
      <protection locked="0"/>
    </xf>
    <xf numFmtId="2" fontId="29" fillId="40" borderId="0" xfId="42" applyNumberFormat="1" applyBorder="1" applyAlignment="1">
      <alignment horizontal="center" wrapText="1"/>
    </xf>
    <xf numFmtId="1" fontId="0" fillId="63" borderId="1" xfId="31" applyNumberFormat="1" applyFont="1"/>
    <xf numFmtId="169" fontId="30" fillId="64" borderId="1" xfId="90" applyNumberFormat="1" applyFont="1" applyFill="1" applyBorder="1"/>
    <xf numFmtId="164" fontId="0" fillId="2" borderId="1" xfId="90" applyNumberFormat="1" applyFont="1" applyFill="1" applyBorder="1" applyProtection="1">
      <protection locked="0"/>
    </xf>
    <xf numFmtId="164" fontId="30" fillId="64" borderId="1" xfId="90" applyNumberFormat="1" applyFont="1" applyFill="1" applyBorder="1"/>
    <xf numFmtId="1" fontId="2" fillId="63" borderId="1" xfId="31" applyNumberFormat="1"/>
    <xf numFmtId="177" fontId="0" fillId="66" borderId="1" xfId="29" applyNumberFormat="1" applyFont="1"/>
    <xf numFmtId="166" fontId="30" fillId="64" borderId="1" xfId="32" applyNumberFormat="1" applyAlignment="1">
      <alignment vertical="center"/>
    </xf>
    <xf numFmtId="0" fontId="0" fillId="2" borderId="1" xfId="33" applyNumberFormat="1" applyFont="1" applyAlignment="1">
      <alignment horizontal="center"/>
      <protection locked="0"/>
    </xf>
    <xf numFmtId="0" fontId="2" fillId="14" borderId="33" xfId="54" applyBorder="1" applyAlignment="1">
      <alignment horizontal="center"/>
    </xf>
    <xf numFmtId="0" fontId="30" fillId="64" borderId="1" xfId="32" applyAlignment="1">
      <alignment horizontal="center"/>
    </xf>
    <xf numFmtId="0" fontId="2" fillId="63" borderId="28" xfId="31" applyBorder="1" applyAlignment="1">
      <alignment horizontal="center"/>
    </xf>
    <xf numFmtId="0" fontId="2" fillId="63" borderId="29" xfId="31" applyBorder="1" applyAlignment="1">
      <alignment horizontal="center"/>
    </xf>
    <xf numFmtId="0" fontId="2" fillId="66" borderId="1" xfId="29" applyAlignment="1">
      <alignment horizontal="center"/>
    </xf>
    <xf numFmtId="0" fontId="29" fillId="78" borderId="0" xfId="0" applyFont="1" applyFill="1" applyAlignment="1">
      <alignment horizontal="center"/>
    </xf>
    <xf numFmtId="0" fontId="29" fillId="40" borderId="0" xfId="0" applyFont="1" applyFill="1" applyAlignment="1">
      <alignment horizontal="center"/>
    </xf>
    <xf numFmtId="0" fontId="29" fillId="79" borderId="0" xfId="0" applyFont="1" applyFill="1" applyAlignment="1">
      <alignment horizontal="center"/>
    </xf>
    <xf numFmtId="0" fontId="24" fillId="80" borderId="0" xfId="0" applyFont="1" applyFill="1" applyAlignment="1">
      <alignment horizontal="center"/>
    </xf>
    <xf numFmtId="0" fontId="0" fillId="0" borderId="0" xfId="0" applyAlignment="1">
      <alignment horizontal="center" vertical="center"/>
    </xf>
    <xf numFmtId="0" fontId="29" fillId="40" borderId="0" xfId="42" applyAlignment="1">
      <alignment horizontal="center" vertical="center" wrapText="1"/>
    </xf>
    <xf numFmtId="0" fontId="29" fillId="40" borderId="0" xfId="42" applyBorder="1" applyAlignment="1">
      <alignment horizontal="center" wrapText="1"/>
    </xf>
    <xf numFmtId="0" fontId="40" fillId="0" borderId="25" xfId="0" applyFont="1" applyBorder="1" applyAlignment="1">
      <alignment horizontal="center"/>
    </xf>
    <xf numFmtId="0" fontId="40" fillId="0" borderId="15" xfId="0" applyFont="1" applyBorder="1" applyAlignment="1">
      <alignment horizontal="center"/>
    </xf>
    <xf numFmtId="0" fontId="40" fillId="0" borderId="16" xfId="0" applyFont="1" applyBorder="1" applyAlignment="1">
      <alignment horizontal="center"/>
    </xf>
    <xf numFmtId="0" fontId="40" fillId="0" borderId="17" xfId="0" applyFont="1" applyBorder="1" applyAlignment="1">
      <alignment horizontal="center"/>
    </xf>
    <xf numFmtId="0" fontId="40" fillId="71" borderId="15" xfId="0" applyFont="1" applyFill="1" applyBorder="1" applyAlignment="1">
      <alignment horizontal="center"/>
    </xf>
    <xf numFmtId="0" fontId="40" fillId="71" borderId="16" xfId="0" applyFont="1" applyFill="1" applyBorder="1" applyAlignment="1">
      <alignment horizontal="center"/>
    </xf>
    <xf numFmtId="0" fontId="40" fillId="71" borderId="17" xfId="0" applyFont="1" applyFill="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40" fillId="0" borderId="20" xfId="0" applyFont="1" applyBorder="1" applyAlignment="1">
      <alignment horizontal="center"/>
    </xf>
    <xf numFmtId="0" fontId="40" fillId="0" borderId="14" xfId="0" applyFont="1" applyBorder="1" applyAlignment="1">
      <alignment horizontal="center"/>
    </xf>
    <xf numFmtId="0" fontId="40" fillId="72" borderId="15" xfId="0" applyFont="1" applyFill="1" applyBorder="1" applyAlignment="1">
      <alignment horizontal="center"/>
    </xf>
    <xf numFmtId="0" fontId="40" fillId="72" borderId="16" xfId="0" applyFont="1" applyFill="1" applyBorder="1" applyAlignment="1">
      <alignment horizontal="center"/>
    </xf>
    <xf numFmtId="0" fontId="40" fillId="72" borderId="17" xfId="0" applyFont="1" applyFill="1" applyBorder="1" applyAlignment="1">
      <alignment horizontal="center"/>
    </xf>
    <xf numFmtId="0" fontId="40" fillId="64" borderId="15" xfId="0" applyFont="1" applyFill="1" applyBorder="1" applyAlignment="1">
      <alignment horizontal="center"/>
    </xf>
    <xf numFmtId="0" fontId="40" fillId="64" borderId="16" xfId="0" applyFont="1" applyFill="1" applyBorder="1" applyAlignment="1">
      <alignment horizontal="center"/>
    </xf>
    <xf numFmtId="0" fontId="40" fillId="64" borderId="17" xfId="0" applyFont="1" applyFill="1" applyBorder="1" applyAlignment="1">
      <alignment horizontal="center"/>
    </xf>
    <xf numFmtId="0" fontId="40" fillId="70" borderId="15" xfId="0" applyFont="1" applyFill="1" applyBorder="1" applyAlignment="1">
      <alignment horizontal="center"/>
    </xf>
    <xf numFmtId="0" fontId="40" fillId="70" borderId="16" xfId="0" applyFont="1" applyFill="1" applyBorder="1" applyAlignment="1">
      <alignment horizontal="center"/>
    </xf>
    <xf numFmtId="0" fontId="40" fillId="70" borderId="17" xfId="0" applyFont="1" applyFill="1" applyBorder="1" applyAlignment="1">
      <alignment horizontal="center"/>
    </xf>
    <xf numFmtId="0" fontId="29" fillId="40" borderId="32" xfId="42" applyBorder="1" applyAlignment="1">
      <alignment horizontal="center" vertical="center" wrapText="1"/>
    </xf>
    <xf numFmtId="0" fontId="24" fillId="0" borderId="1" xfId="36" applyNumberFormat="1" applyFont="1" applyAlignment="1">
      <alignment horizontal="left" vertical="center"/>
      <protection locked="0"/>
    </xf>
    <xf numFmtId="0" fontId="0" fillId="0" borderId="34" xfId="0" applyBorder="1" applyAlignment="1">
      <alignment horizontal="left" vertical="center"/>
    </xf>
    <xf numFmtId="0" fontId="29" fillId="40" borderId="0" xfId="42" applyAlignment="1">
      <alignment vertical="center" wrapText="1"/>
    </xf>
    <xf numFmtId="0" fontId="0" fillId="0" borderId="0" xfId="0" applyAlignment="1">
      <alignment horizontal="left" vertical="center"/>
    </xf>
    <xf numFmtId="0" fontId="24" fillId="0" borderId="0" xfId="0" applyFont="1" applyAlignment="1">
      <alignment horizontal="left" vertical="center"/>
    </xf>
    <xf numFmtId="0" fontId="24" fillId="0" borderId="33" xfId="0" applyFont="1" applyBorder="1" applyAlignment="1">
      <alignment horizontal="center" vertical="center"/>
    </xf>
    <xf numFmtId="0" fontId="24" fillId="0" borderId="0" xfId="0" applyFont="1" applyAlignment="1">
      <alignment horizontal="center" vertical="center"/>
    </xf>
    <xf numFmtId="0" fontId="24" fillId="0" borderId="13" xfId="0" applyFont="1" applyBorder="1" applyAlignment="1">
      <alignment horizontal="center" vertical="center"/>
    </xf>
    <xf numFmtId="0" fontId="24" fillId="0" borderId="19" xfId="0" applyFont="1" applyBorder="1" applyAlignment="1">
      <alignment horizontal="center" vertical="center"/>
    </xf>
    <xf numFmtId="0" fontId="21" fillId="0" borderId="10" xfId="37" applyFont="1" applyAlignment="1">
      <alignment vertical="center"/>
    </xf>
    <xf numFmtId="0" fontId="0" fillId="0" borderId="0" xfId="0" applyFont="1" applyAlignment="1">
      <alignment vertical="center"/>
    </xf>
    <xf numFmtId="0" fontId="20" fillId="0" borderId="9" xfId="38" applyFont="1" applyAlignment="1">
      <alignment vertical="center"/>
    </xf>
    <xf numFmtId="0" fontId="22" fillId="0" borderId="8" xfId="39" applyFont="1" applyAlignment="1">
      <alignment vertical="center"/>
    </xf>
    <xf numFmtId="0" fontId="29" fillId="40" borderId="0" xfId="42" applyFont="1" applyAlignment="1">
      <alignment vertical="center" wrapText="1"/>
    </xf>
    <xf numFmtId="0" fontId="29" fillId="40" borderId="0" xfId="42" applyFont="1" applyAlignment="1">
      <alignment horizontal="center" vertical="center" wrapText="1"/>
    </xf>
    <xf numFmtId="0" fontId="0" fillId="0" borderId="28" xfId="36" applyNumberFormat="1" applyFont="1" applyBorder="1" applyAlignment="1">
      <alignment horizontal="left" vertical="center"/>
      <protection locked="0"/>
    </xf>
    <xf numFmtId="0" fontId="0" fillId="0" borderId="29" xfId="36" applyNumberFormat="1" applyFont="1" applyBorder="1" applyAlignment="1">
      <alignment horizontal="left" vertical="center"/>
      <protection locked="0"/>
    </xf>
    <xf numFmtId="171" fontId="0" fillId="14" borderId="0" xfId="54" applyNumberFormat="1" applyFont="1" applyAlignment="1">
      <alignment vertical="center"/>
    </xf>
    <xf numFmtId="175" fontId="0" fillId="14" borderId="0" xfId="54" applyNumberFormat="1" applyFont="1" applyAlignment="1">
      <alignment vertical="center"/>
    </xf>
    <xf numFmtId="9" fontId="0" fillId="14" borderId="0" xfId="54" applyNumberFormat="1" applyFont="1" applyAlignment="1">
      <alignment vertical="center"/>
    </xf>
    <xf numFmtId="0" fontId="0" fillId="0" borderId="35" xfId="36" applyNumberFormat="1" applyFont="1" applyBorder="1" applyAlignment="1">
      <alignment horizontal="left" vertical="center" wrapText="1"/>
      <protection locked="0"/>
    </xf>
    <xf numFmtId="0" fontId="0" fillId="0" borderId="36" xfId="36" applyNumberFormat="1" applyFont="1" applyBorder="1" applyAlignment="1">
      <alignment horizontal="left" vertical="center" wrapText="1"/>
      <protection locked="0"/>
    </xf>
    <xf numFmtId="0" fontId="0" fillId="0" borderId="0" xfId="0" applyFont="1"/>
    <xf numFmtId="0" fontId="0" fillId="0" borderId="35" xfId="36" applyNumberFormat="1" applyFont="1" applyBorder="1" applyAlignment="1">
      <alignment horizontal="center" vertical="center"/>
      <protection locked="0"/>
    </xf>
    <xf numFmtId="169" fontId="0" fillId="64" borderId="1" xfId="90" applyNumberFormat="1" applyFont="1" applyFill="1" applyBorder="1" applyAlignment="1">
      <alignment vertical="center"/>
    </xf>
    <xf numFmtId="0" fontId="0" fillId="0" borderId="36" xfId="36" applyNumberFormat="1" applyFont="1" applyBorder="1" applyAlignment="1">
      <alignment horizontal="center" vertical="center"/>
      <protection locked="0"/>
    </xf>
    <xf numFmtId="165" fontId="0" fillId="66" borderId="1" xfId="90" applyNumberFormat="1" applyFont="1" applyFill="1" applyBorder="1" applyAlignment="1">
      <alignment vertical="center"/>
    </xf>
    <xf numFmtId="0" fontId="0" fillId="0" borderId="0" xfId="0" applyFont="1" applyAlignment="1">
      <alignment horizontal="center" vertical="center"/>
    </xf>
    <xf numFmtId="0" fontId="28" fillId="6" borderId="0" xfId="20" applyFont="1" applyAlignment="1">
      <alignment vertical="center"/>
    </xf>
    <xf numFmtId="0" fontId="0" fillId="0" borderId="35" xfId="36" applyNumberFormat="1" applyFont="1" applyBorder="1" applyAlignment="1">
      <alignment horizontal="center" vertical="center" wrapText="1"/>
      <protection locked="0"/>
    </xf>
    <xf numFmtId="0" fontId="0" fillId="0" borderId="35" xfId="36" applyNumberFormat="1" applyFont="1" applyBorder="1" applyAlignment="1">
      <alignment horizontal="left" vertical="center" wrapText="1"/>
      <protection locked="0"/>
    </xf>
    <xf numFmtId="165" fontId="0" fillId="0" borderId="0" xfId="0" applyNumberFormat="1" applyFont="1" applyAlignment="1">
      <alignment vertical="center"/>
    </xf>
    <xf numFmtId="0" fontId="0" fillId="0" borderId="37" xfId="36" applyNumberFormat="1" applyFont="1" applyBorder="1" applyAlignment="1">
      <alignment horizontal="center" vertical="center" wrapText="1"/>
      <protection locked="0"/>
    </xf>
    <xf numFmtId="0" fontId="0" fillId="0" borderId="0" xfId="0" applyAlignment="1">
      <alignment horizontal="left" vertical="top" wrapText="1"/>
    </xf>
    <xf numFmtId="0" fontId="48" fillId="82" borderId="0" xfId="0" applyFont="1" applyFill="1" applyAlignment="1">
      <alignment horizontal="left"/>
    </xf>
    <xf numFmtId="0" fontId="48" fillId="63" borderId="0" xfId="0" applyFont="1" applyFill="1" applyAlignment="1">
      <alignment horizontal="left" vertical="center"/>
    </xf>
    <xf numFmtId="0" fontId="48" fillId="81" borderId="0" xfId="0" applyFont="1" applyFill="1" applyAlignment="1">
      <alignment horizontal="left"/>
    </xf>
    <xf numFmtId="0" fontId="48" fillId="64" borderId="0" xfId="0" applyFont="1" applyFill="1" applyAlignment="1">
      <alignment horizontal="left"/>
    </xf>
    <xf numFmtId="165" fontId="2" fillId="14" borderId="0" xfId="54" applyNumberFormat="1" applyAlignment="1">
      <alignment vertical="center"/>
    </xf>
  </cellXfs>
  <cellStyles count="94">
    <cellStyle name="20% - Accent1" xfId="1" builtinId="30" customBuiltin="1"/>
    <cellStyle name="20% - Accent10" xfId="82" xr:uid="{00000000-0005-0000-0000-000001000000}"/>
    <cellStyle name="20% - Accent11" xfId="83" xr:uid="{00000000-0005-0000-0000-000002000000}"/>
    <cellStyle name="20% - Accent12" xfId="84" xr:uid="{00000000-0005-0000-0000-000003000000}"/>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Accent7" xfId="79" xr:uid="{00000000-0005-0000-0000-000009000000}"/>
    <cellStyle name="20% - Accent8" xfId="80" xr:uid="{00000000-0005-0000-0000-00000A000000}"/>
    <cellStyle name="20% - Accent9" xfId="81" xr:uid="{00000000-0005-0000-0000-00000B000000}"/>
    <cellStyle name="40% - Accent1" xfId="7" builtinId="31" customBuiltin="1"/>
    <cellStyle name="40% - Accent10" xfId="76" xr:uid="{00000000-0005-0000-0000-00000D000000}"/>
    <cellStyle name="40% - Accent11" xfId="77" xr:uid="{00000000-0005-0000-0000-00000E000000}"/>
    <cellStyle name="40% - Accent12" xfId="78" xr:uid="{00000000-0005-0000-0000-00000F000000}"/>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40% - Accent7" xfId="73" xr:uid="{00000000-0005-0000-0000-000015000000}"/>
    <cellStyle name="40% - Accent8" xfId="74" xr:uid="{00000000-0005-0000-0000-000016000000}"/>
    <cellStyle name="40% - Accent9" xfId="75" xr:uid="{00000000-0005-0000-0000-000017000000}"/>
    <cellStyle name="60% - Accent1" xfId="13" builtinId="32" customBuiltin="1"/>
    <cellStyle name="60% - Accent10" xfId="70" xr:uid="{00000000-0005-0000-0000-000019000000}"/>
    <cellStyle name="60% - Accent11" xfId="71" xr:uid="{00000000-0005-0000-0000-00001A000000}"/>
    <cellStyle name="60% - Accent12" xfId="72" xr:uid="{00000000-0005-0000-0000-00001B000000}"/>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60% - Accent7" xfId="67" xr:uid="{00000000-0005-0000-0000-000021000000}"/>
    <cellStyle name="60% - Accent8" xfId="68" xr:uid="{00000000-0005-0000-0000-000022000000}"/>
    <cellStyle name="60% - Accent9" xfId="69" xr:uid="{00000000-0005-0000-0000-000023000000}"/>
    <cellStyle name="Accent1" xfId="19" builtinId="29" customBuiltin="1"/>
    <cellStyle name="Accent10" xfId="64" xr:uid="{00000000-0005-0000-0000-000025000000}"/>
    <cellStyle name="Accent11" xfId="65" xr:uid="{00000000-0005-0000-0000-000026000000}"/>
    <cellStyle name="Accent12" xfId="66" xr:uid="{00000000-0005-0000-0000-000027000000}"/>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cent7" xfId="61" xr:uid="{00000000-0005-0000-0000-00002D000000}"/>
    <cellStyle name="Accent8" xfId="62" xr:uid="{00000000-0005-0000-0000-00002E000000}"/>
    <cellStyle name="Accent9" xfId="63" xr:uid="{00000000-0005-0000-0000-00002F000000}"/>
    <cellStyle name="Bad" xfId="25" builtinId="27" customBuiltin="1"/>
    <cellStyle name="Calculation" xfId="26" builtinId="22" customBuiltin="1"/>
    <cellStyle name="Check Cell" xfId="27" builtinId="23" customBuiltin="1"/>
    <cellStyle name="Comma" xfId="90" builtinId="3"/>
    <cellStyle name="Explanatory Text" xfId="45" builtinId="53" customBuiltin="1"/>
    <cellStyle name="Followed Hyperlink" xfId="46" builtinId="9" customBuiltin="1"/>
    <cellStyle name="Good" xfId="47" builtinId="26" customBuiltin="1"/>
    <cellStyle name="Heading 1" xfId="48" builtinId="16" hidden="1" customBuiltin="1"/>
    <cellStyle name="Heading 2" xfId="49" builtinId="17" hidden="1" customBuiltin="1"/>
    <cellStyle name="Heading 3" xfId="50" builtinId="18" hidden="1" customBuiltin="1"/>
    <cellStyle name="Heading 4" xfId="51" builtinId="19" hidden="1" customBuiltin="1"/>
    <cellStyle name="Hyperlink" xfId="52" builtinId="8" customBuiltin="1"/>
    <cellStyle name="Hyperlink 2" xfId="93" xr:uid="{FAEDC65F-69DA-43BE-9BD3-321AF931D037}"/>
    <cellStyle name="Input" xfId="53" builtinId="20" customBuiltin="1"/>
    <cellStyle name="Linked Cell" xfId="54" builtinId="24" customBuiltin="1"/>
    <cellStyle name="Neutral" xfId="55" builtinId="28" customBuiltin="1"/>
    <cellStyle name="Normal" xfId="0" builtinId="0" customBuiltin="1"/>
    <cellStyle name="Normal 2" xfId="92" xr:uid="{C0603892-F367-4A2D-A514-E8EE8F4336AB}"/>
    <cellStyle name="Note" xfId="56" builtinId="10" customBuiltin="1"/>
    <cellStyle name="Output" xfId="57" builtinId="21" customBuiltin="1"/>
    <cellStyle name="Percent" xfId="91" builtinId="5"/>
    <cellStyle name="Title" xfId="58" builtinId="15" hidden="1" customBuiltin="1"/>
    <cellStyle name="Total" xfId="59" builtinId="25" hidden="1" customBuiltin="1"/>
    <cellStyle name="Tri_Calculation0" xfId="28" xr:uid="{00000000-0005-0000-0000-000033000000}"/>
    <cellStyle name="Tri_Calculation1" xfId="29" xr:uid="{00000000-0005-0000-0000-000034000000}"/>
    <cellStyle name="Tri_Calculation2" xfId="30" xr:uid="{00000000-0005-0000-0000-000035000000}"/>
    <cellStyle name="Tri_Calculation3" xfId="31" xr:uid="{00000000-0005-0000-0000-000036000000}"/>
    <cellStyle name="Tri_Calculation4" xfId="32" xr:uid="{00000000-0005-0000-0000-000037000000}"/>
    <cellStyle name="Tri_CalculationSum" xfId="89" xr:uid="{750B31F8-46A4-4AD2-BE86-313343C8D8C3}"/>
    <cellStyle name="Tri_Check" xfId="86" xr:uid="{E9D505EA-3394-40F6-B0DB-93040479CEDB}"/>
    <cellStyle name="Tri_Comment" xfId="85" xr:uid="{66C6F4E0-BA32-4997-B7CE-4D3761AB5D51}"/>
    <cellStyle name="Tri_Input1" xfId="33" xr:uid="{00000000-0005-0000-0000-00003C000000}"/>
    <cellStyle name="Tri_InputFixed" xfId="34" xr:uid="{00000000-0005-0000-0000-00003E000000}"/>
    <cellStyle name="Tri_InputList" xfId="35" xr:uid="{00000000-0005-0000-0000-00003F000000}"/>
    <cellStyle name="Tri_InputWhite" xfId="36" xr:uid="{00000000-0005-0000-0000-000040000000}"/>
    <cellStyle name="Tri_RangeName" xfId="87" xr:uid="{86F102AE-F783-4578-9328-5C2214920078}"/>
    <cellStyle name="Tri_SecTitle1" xfId="37" xr:uid="{00000000-0005-0000-0000-00005B000000}"/>
    <cellStyle name="Tri_SecTitle2" xfId="38" xr:uid="{00000000-0005-0000-0000-00005C000000}"/>
    <cellStyle name="Tri_SecTitle3" xfId="39" xr:uid="{00000000-0005-0000-0000-00005D000000}"/>
    <cellStyle name="Tri_Source" xfId="88" xr:uid="{AE96B65E-7099-46EE-8B5C-AD24FADEC83A}"/>
    <cellStyle name="Tri_TableCell0" xfId="40" xr:uid="{00000000-0005-0000-0000-000043000000}"/>
    <cellStyle name="Tri_TableHeader0" xfId="41" xr:uid="{00000000-0005-0000-0000-000046000000}"/>
    <cellStyle name="Tri_TableHeader1" xfId="42" xr:uid="{00000000-0005-0000-0000-000047000000}"/>
    <cellStyle name="Tri_TableHeader2" xfId="43" xr:uid="{00000000-0005-0000-0000-000048000000}"/>
    <cellStyle name="Tri_Warning" xfId="44" xr:uid="{00000000-0005-0000-0000-00004A000000}"/>
    <cellStyle name="Warning Text" xfId="60" builtinId="11" customBuiltin="1"/>
  </cellStyles>
  <dxfs count="14">
    <dxf>
      <fill>
        <patternFill>
          <bgColor rgb="FFE4F1CC"/>
        </patternFill>
      </fill>
    </dxf>
    <dxf>
      <fill>
        <patternFill>
          <bgColor rgb="FFE4F1CC"/>
        </patternFill>
      </fill>
    </dxf>
    <dxf>
      <font>
        <color theme="0"/>
      </font>
      <fill>
        <patternFill>
          <bgColor theme="2"/>
        </patternFill>
      </fill>
    </dxf>
    <dxf>
      <font>
        <color theme="0"/>
      </font>
      <fill>
        <patternFill>
          <bgColor theme="2"/>
        </patternFill>
      </fill>
    </dxf>
    <dxf>
      <font>
        <b/>
        <i val="0"/>
        <color theme="0"/>
      </font>
      <fill>
        <patternFill>
          <bgColor theme="2"/>
        </patternFill>
      </fill>
    </dxf>
    <dxf>
      <font>
        <b/>
        <i val="0"/>
        <color theme="2"/>
      </font>
      <fill>
        <patternFill patternType="none">
          <bgColor auto="1"/>
        </patternFill>
      </fill>
      <border>
        <bottom style="thin">
          <color theme="2"/>
        </bottom>
      </border>
    </dxf>
    <dxf>
      <border diagonalUp="0" diagonalDown="0">
        <left style="hair">
          <color theme="6"/>
        </left>
        <right style="hair">
          <color theme="6"/>
        </right>
        <top style="hair">
          <color theme="6"/>
        </top>
        <bottom style="hair">
          <color theme="6"/>
        </bottom>
        <vertical style="hair">
          <color theme="6"/>
        </vertical>
        <horizontal style="hair">
          <color theme="6"/>
        </horizontal>
      </border>
    </dxf>
    <dxf>
      <fill>
        <patternFill>
          <bgColor rgb="FFE4F1CC"/>
        </patternFill>
      </fill>
    </dxf>
    <dxf>
      <fill>
        <patternFill>
          <bgColor rgb="FFE4F1CC"/>
        </patternFill>
      </fill>
    </dxf>
    <dxf>
      <font>
        <color theme="0"/>
      </font>
      <fill>
        <patternFill>
          <bgColor theme="2"/>
        </patternFill>
      </fill>
    </dxf>
    <dxf>
      <font>
        <color theme="0"/>
      </font>
      <fill>
        <patternFill>
          <bgColor theme="2"/>
        </patternFill>
      </fill>
    </dxf>
    <dxf>
      <font>
        <b/>
        <i val="0"/>
        <color theme="0"/>
      </font>
      <fill>
        <patternFill>
          <bgColor theme="2"/>
        </patternFill>
      </fill>
    </dxf>
    <dxf>
      <font>
        <b/>
        <i val="0"/>
        <color theme="0"/>
      </font>
      <fill>
        <patternFill>
          <bgColor theme="2"/>
        </patternFill>
      </fill>
    </dxf>
    <dxf>
      <border diagonalUp="0" diagonalDown="0">
        <left style="hair">
          <color theme="2"/>
        </left>
        <right style="hair">
          <color theme="2"/>
        </right>
        <top style="hair">
          <color theme="2"/>
        </top>
        <bottom style="hair">
          <color theme="2"/>
        </bottom>
        <vertical style="hair">
          <color theme="2"/>
        </vertical>
        <horizontal style="hair">
          <color theme="2"/>
        </horizontal>
      </border>
    </dxf>
  </dxfs>
  <tableStyles count="2" defaultTableStyle="E_Table1_Green" defaultPivotStyle="PivotStyleLight16">
    <tableStyle name="E_Table1_Green" pivot="0" count="7" xr9:uid="{00000000-0011-0000-FFFF-FFFF00000000}">
      <tableStyleElement type="wholeTable" dxfId="13"/>
      <tableStyleElement type="headerRow" dxfId="12"/>
      <tableStyleElement type="totalRow" dxfId="11"/>
      <tableStyleElement type="firstColumn" dxfId="10"/>
      <tableStyleElement type="lastColumn" dxfId="9"/>
      <tableStyleElement type="secondRowStripe" dxfId="8"/>
      <tableStyleElement type="secondColumnStripe" dxfId="7"/>
    </tableStyle>
    <tableStyle name="E_Table2_Green" pivot="0" count="7" xr9:uid="{00000000-0011-0000-FFFF-FFFF01000000}">
      <tableStyleElement type="wholeTable" dxfId="6"/>
      <tableStyleElement type="headerRow" dxfId="5"/>
      <tableStyleElement type="totalRow" dxfId="4"/>
      <tableStyleElement type="firstColumn" dxfId="3"/>
      <tableStyleElement type="lastColumn" dxfId="2"/>
      <tableStyleElement type="secondRow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66B9C0"/>
      <rgbColor rgb="00CCD7ED"/>
      <rgbColor rgb="00E89EAC"/>
      <rgbColor rgb="00A7A2C7"/>
      <rgbColor rgb="00D1D1D2"/>
      <rgbColor rgb="0099B0DB"/>
      <rgbColor rgb="00FFC699"/>
      <rgbColor rgb="00FFFFFF"/>
      <rgbColor rgb="00E3D5ED"/>
      <rgbColor rgb="00F2F299"/>
      <rgbColor rgb="00C7ABDB"/>
      <rgbColor rgb="00CCE4DB"/>
      <rgbColor rgb="00D3D1E3"/>
      <rgbColor rgb="0099D1D5"/>
      <rgbColor rgb="00241773"/>
      <rgbColor rgb="003361B8"/>
      <rgbColor rgb="0095C633"/>
      <rgbColor rgb="00A2A4A4"/>
      <rgbColor rgb="00D13D5A"/>
      <rgbColor rgb="00FF8D33"/>
      <rgbColor rgb="00EEBC33"/>
      <rgbColor rgb="00339571"/>
      <rgbColor rgb="0033A2AA"/>
      <rgbColor rgb="000039A6"/>
      <rgbColor rgb="007AB800"/>
      <rgbColor rgb="008B8D8E"/>
      <rgbColor rgb="00BD0C30"/>
      <rgbColor rgb="00FF7000"/>
      <rgbColor rgb="00EAAB00"/>
      <rgbColor rgb="00007A4D"/>
      <rgbColor rgb="00008B95"/>
      <rgbColor rgb="00F7DD99"/>
      <rgbColor rgb="00FFA966"/>
      <rgbColor rgb="00DD6D83"/>
      <rgbColor rgb="00B9BBBB"/>
      <rgbColor rgb="00F3CD66"/>
      <rgbColor rgb="006688CA"/>
      <rgbColor rgb="0066AF94"/>
      <rgbColor rgb="00AFD466"/>
      <rgbColor rgb="00FBEECC"/>
      <rgbColor rgb="00FFE2CC"/>
      <rgbColor rgb="00E8E8E8"/>
      <rgbColor rgb="00CAE399"/>
      <rgbColor rgb="00E4F1CC"/>
      <rgbColor rgb="00722EA5"/>
      <rgbColor rgb="007C74AB"/>
      <rgbColor rgb="00CCE8EA"/>
      <rgbColor rgb="00F9F9CC"/>
      <rgbColor rgb="00F4CED6"/>
      <rgbColor rgb="00F4CCE7"/>
      <rgbColor rgb="00DC66B5"/>
      <rgbColor rgb="00C50084"/>
      <rgbColor rgb="0099CAB8"/>
      <rgbColor rgb="00ECEC66"/>
      <rgbColor rgb="00DFDF00"/>
    </indexedColors>
    <mruColors>
      <color rgb="FFE5FDFF"/>
      <color rgb="FFFFECDD"/>
      <color rgb="FF8E6D2A"/>
      <color rgb="FFB49553"/>
      <color rgb="FFD9BC7D"/>
      <color rgb="FFD9BC33"/>
      <color rgb="FFE0EBEB"/>
      <color rgb="FFD1E2E1"/>
      <color rgb="FFC1D8D7"/>
      <color rgb="FFF9B8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'Average cost'!$D$87</c:f>
              <c:strCache>
                <c:ptCount val="1"/>
                <c:pt idx="0">
                  <c:v>Estonia</c:v>
                </c:pt>
              </c:strCache>
            </c:strRef>
          </c:tx>
          <c:spPr>
            <a:solidFill>
              <a:schemeClr val="accent1"/>
            </a:solidFill>
            <a:ln>
              <a:noFill/>
            </a:ln>
            <a:effectLst/>
          </c:spPr>
          <c:invertIfNegative val="0"/>
          <c:cat>
            <c:multiLvlStrRef>
              <c:f>'Average cost'!$E$85:$L$86</c:f>
              <c:multiLvlStrCache>
                <c:ptCount val="8"/>
                <c:lvl>
                  <c:pt idx="0">
                    <c:v>2030</c:v>
                  </c:pt>
                  <c:pt idx="1">
                    <c:v>2050</c:v>
                  </c:pt>
                  <c:pt idx="2">
                    <c:v>2030</c:v>
                  </c:pt>
                  <c:pt idx="3">
                    <c:v>2050</c:v>
                  </c:pt>
                  <c:pt idx="4">
                    <c:v>2030</c:v>
                  </c:pt>
                  <c:pt idx="5">
                    <c:v>2050</c:v>
                  </c:pt>
                  <c:pt idx="6">
                    <c:v>2030</c:v>
                  </c:pt>
                  <c:pt idx="7">
                    <c:v>2050</c:v>
                  </c:pt>
                </c:lvl>
                <c:lvl>
                  <c:pt idx="0">
                    <c:v>BAU</c:v>
                  </c:pt>
                  <c:pt idx="2">
                    <c:v>REN-Methane</c:v>
                  </c:pt>
                  <c:pt idx="4">
                    <c:v>REN-Hydrogen</c:v>
                  </c:pt>
                  <c:pt idx="6">
                    <c:v>CM</c:v>
                  </c:pt>
                </c:lvl>
              </c:multiLvlStrCache>
            </c:multiLvlStrRef>
          </c:cat>
          <c:val>
            <c:numRef>
              <c:f>'Average cost'!$E$87:$L$87</c:f>
              <c:numCache>
                <c:formatCode>_ * #,##0_ ;_ * \-#,##0_ ;_ * "-"??_ ;_ @_ </c:formatCode>
                <c:ptCount val="8"/>
                <c:pt idx="0">
                  <c:v>652.70884559955664</c:v>
                </c:pt>
                <c:pt idx="1">
                  <c:v>510.34889413393546</c:v>
                </c:pt>
                <c:pt idx="2">
                  <c:v>902.28158942624373</c:v>
                </c:pt>
                <c:pt idx="3">
                  <c:v>277.93251996213223</c:v>
                </c:pt>
                <c:pt idx="4">
                  <c:v>667.74477751342613</c:v>
                </c:pt>
                <c:pt idx="5">
                  <c:v>392.45846172252124</c:v>
                </c:pt>
                <c:pt idx="6">
                  <c:v>435.52110776758485</c:v>
                </c:pt>
                <c:pt idx="7">
                  <c:v>243.11707603867737</c:v>
                </c:pt>
              </c:numCache>
            </c:numRef>
          </c:val>
          <c:extLst>
            <c:ext xmlns:c16="http://schemas.microsoft.com/office/drawing/2014/chart" uri="{C3380CC4-5D6E-409C-BE32-E72D297353CC}">
              <c16:uniqueId val="{00000000-7AAF-421C-A3E1-31CE521F75D5}"/>
            </c:ext>
          </c:extLst>
        </c:ser>
        <c:ser>
          <c:idx val="1"/>
          <c:order val="1"/>
          <c:tx>
            <c:strRef>
              <c:f>'Average cost'!$D$88</c:f>
              <c:strCache>
                <c:ptCount val="1"/>
                <c:pt idx="0">
                  <c:v>Latvia</c:v>
                </c:pt>
              </c:strCache>
            </c:strRef>
          </c:tx>
          <c:spPr>
            <a:solidFill>
              <a:schemeClr val="accent2"/>
            </a:solidFill>
            <a:ln>
              <a:noFill/>
            </a:ln>
            <a:effectLst/>
          </c:spPr>
          <c:invertIfNegative val="0"/>
          <c:cat>
            <c:multiLvlStrRef>
              <c:f>'Average cost'!$E$85:$L$86</c:f>
              <c:multiLvlStrCache>
                <c:ptCount val="8"/>
                <c:lvl>
                  <c:pt idx="0">
                    <c:v>2030</c:v>
                  </c:pt>
                  <c:pt idx="1">
                    <c:v>2050</c:v>
                  </c:pt>
                  <c:pt idx="2">
                    <c:v>2030</c:v>
                  </c:pt>
                  <c:pt idx="3">
                    <c:v>2050</c:v>
                  </c:pt>
                  <c:pt idx="4">
                    <c:v>2030</c:v>
                  </c:pt>
                  <c:pt idx="5">
                    <c:v>2050</c:v>
                  </c:pt>
                  <c:pt idx="6">
                    <c:v>2030</c:v>
                  </c:pt>
                  <c:pt idx="7">
                    <c:v>2050</c:v>
                  </c:pt>
                </c:lvl>
                <c:lvl>
                  <c:pt idx="0">
                    <c:v>BAU</c:v>
                  </c:pt>
                  <c:pt idx="2">
                    <c:v>REN-Methane</c:v>
                  </c:pt>
                  <c:pt idx="4">
                    <c:v>REN-Hydrogen</c:v>
                  </c:pt>
                  <c:pt idx="6">
                    <c:v>CM</c:v>
                  </c:pt>
                </c:lvl>
              </c:multiLvlStrCache>
            </c:multiLvlStrRef>
          </c:cat>
          <c:val>
            <c:numRef>
              <c:f>'Average cost'!$E$88:$L$88</c:f>
              <c:numCache>
                <c:formatCode>_ * #,##0_ ;_ * \-#,##0_ ;_ * "-"??_ ;_ @_ </c:formatCode>
                <c:ptCount val="8"/>
                <c:pt idx="0">
                  <c:v>643.20266081831255</c:v>
                </c:pt>
                <c:pt idx="1">
                  <c:v>517.73133493348121</c:v>
                </c:pt>
                <c:pt idx="2">
                  <c:v>685.81965306698521</c:v>
                </c:pt>
                <c:pt idx="3">
                  <c:v>255.28965643586017</c:v>
                </c:pt>
                <c:pt idx="4">
                  <c:v>652.36664968295906</c:v>
                </c:pt>
                <c:pt idx="5">
                  <c:v>349.66893368169963</c:v>
                </c:pt>
                <c:pt idx="6">
                  <c:v>533.97059784094563</c:v>
                </c:pt>
                <c:pt idx="7">
                  <c:v>180.07756633243471</c:v>
                </c:pt>
              </c:numCache>
            </c:numRef>
          </c:val>
          <c:extLst>
            <c:ext xmlns:c16="http://schemas.microsoft.com/office/drawing/2014/chart" uri="{C3380CC4-5D6E-409C-BE32-E72D297353CC}">
              <c16:uniqueId val="{00000001-7AAF-421C-A3E1-31CE521F75D5}"/>
            </c:ext>
          </c:extLst>
        </c:ser>
        <c:ser>
          <c:idx val="2"/>
          <c:order val="2"/>
          <c:tx>
            <c:strRef>
              <c:f>'Average cost'!$D$89</c:f>
              <c:strCache>
                <c:ptCount val="1"/>
                <c:pt idx="0">
                  <c:v>Lithuania</c:v>
                </c:pt>
              </c:strCache>
            </c:strRef>
          </c:tx>
          <c:spPr>
            <a:solidFill>
              <a:schemeClr val="accent3"/>
            </a:solidFill>
            <a:ln>
              <a:noFill/>
            </a:ln>
            <a:effectLst/>
          </c:spPr>
          <c:invertIfNegative val="0"/>
          <c:cat>
            <c:multiLvlStrRef>
              <c:f>'Average cost'!$E$85:$L$86</c:f>
              <c:multiLvlStrCache>
                <c:ptCount val="8"/>
                <c:lvl>
                  <c:pt idx="0">
                    <c:v>2030</c:v>
                  </c:pt>
                  <c:pt idx="1">
                    <c:v>2050</c:v>
                  </c:pt>
                  <c:pt idx="2">
                    <c:v>2030</c:v>
                  </c:pt>
                  <c:pt idx="3">
                    <c:v>2050</c:v>
                  </c:pt>
                  <c:pt idx="4">
                    <c:v>2030</c:v>
                  </c:pt>
                  <c:pt idx="5">
                    <c:v>2050</c:v>
                  </c:pt>
                  <c:pt idx="6">
                    <c:v>2030</c:v>
                  </c:pt>
                  <c:pt idx="7">
                    <c:v>2050</c:v>
                  </c:pt>
                </c:lvl>
                <c:lvl>
                  <c:pt idx="0">
                    <c:v>BAU</c:v>
                  </c:pt>
                  <c:pt idx="2">
                    <c:v>REN-Methane</c:v>
                  </c:pt>
                  <c:pt idx="4">
                    <c:v>REN-Hydrogen</c:v>
                  </c:pt>
                  <c:pt idx="6">
                    <c:v>CM</c:v>
                  </c:pt>
                </c:lvl>
              </c:multiLvlStrCache>
            </c:multiLvlStrRef>
          </c:cat>
          <c:val>
            <c:numRef>
              <c:f>'Average cost'!$E$89:$L$89</c:f>
              <c:numCache>
                <c:formatCode>_ * #,##0_ ;_ * \-#,##0_ ;_ * "-"??_ ;_ @_ </c:formatCode>
                <c:ptCount val="8"/>
                <c:pt idx="0">
                  <c:v>626.96361545316745</c:v>
                </c:pt>
                <c:pt idx="1">
                  <c:v>484.8909473162077</c:v>
                </c:pt>
                <c:pt idx="2">
                  <c:v>724.07652820882697</c:v>
                </c:pt>
                <c:pt idx="3">
                  <c:v>256.24253665200172</c:v>
                </c:pt>
                <c:pt idx="4">
                  <c:v>641.8501202794464</c:v>
                </c:pt>
                <c:pt idx="5">
                  <c:v>385.63382847517863</c:v>
                </c:pt>
                <c:pt idx="6">
                  <c:v>536.22360732075151</c:v>
                </c:pt>
                <c:pt idx="7">
                  <c:v>235.70446042543691</c:v>
                </c:pt>
              </c:numCache>
            </c:numRef>
          </c:val>
          <c:extLst>
            <c:ext xmlns:c16="http://schemas.microsoft.com/office/drawing/2014/chart" uri="{C3380CC4-5D6E-409C-BE32-E72D297353CC}">
              <c16:uniqueId val="{00000002-7AAF-421C-A3E1-31CE521F75D5}"/>
            </c:ext>
          </c:extLst>
        </c:ser>
        <c:ser>
          <c:idx val="3"/>
          <c:order val="3"/>
          <c:tx>
            <c:strRef>
              <c:f>'Average cost'!$D$90</c:f>
              <c:strCache>
                <c:ptCount val="1"/>
                <c:pt idx="0">
                  <c:v>Finland</c:v>
                </c:pt>
              </c:strCache>
            </c:strRef>
          </c:tx>
          <c:spPr>
            <a:solidFill>
              <a:schemeClr val="accent4"/>
            </a:solidFill>
            <a:ln>
              <a:noFill/>
            </a:ln>
            <a:effectLst/>
          </c:spPr>
          <c:invertIfNegative val="0"/>
          <c:cat>
            <c:multiLvlStrRef>
              <c:f>'Average cost'!$E$85:$L$86</c:f>
              <c:multiLvlStrCache>
                <c:ptCount val="8"/>
                <c:lvl>
                  <c:pt idx="0">
                    <c:v>2030</c:v>
                  </c:pt>
                  <c:pt idx="1">
                    <c:v>2050</c:v>
                  </c:pt>
                  <c:pt idx="2">
                    <c:v>2030</c:v>
                  </c:pt>
                  <c:pt idx="3">
                    <c:v>2050</c:v>
                  </c:pt>
                  <c:pt idx="4">
                    <c:v>2030</c:v>
                  </c:pt>
                  <c:pt idx="5">
                    <c:v>2050</c:v>
                  </c:pt>
                  <c:pt idx="6">
                    <c:v>2030</c:v>
                  </c:pt>
                  <c:pt idx="7">
                    <c:v>2050</c:v>
                  </c:pt>
                </c:lvl>
                <c:lvl>
                  <c:pt idx="0">
                    <c:v>BAU</c:v>
                  </c:pt>
                  <c:pt idx="2">
                    <c:v>REN-Methane</c:v>
                  </c:pt>
                  <c:pt idx="4">
                    <c:v>REN-Hydrogen</c:v>
                  </c:pt>
                  <c:pt idx="6">
                    <c:v>CM</c:v>
                  </c:pt>
                </c:lvl>
              </c:multiLvlStrCache>
            </c:multiLvlStrRef>
          </c:cat>
          <c:val>
            <c:numRef>
              <c:f>'Average cost'!$E$90:$L$90</c:f>
              <c:numCache>
                <c:formatCode>_ * #,##0_ ;_ * \-#,##0_ ;_ * "-"??_ ;_ @_ </c:formatCode>
                <c:ptCount val="8"/>
                <c:pt idx="0">
                  <c:v>755.1760518485147</c:v>
                </c:pt>
                <c:pt idx="1">
                  <c:v>498.19115329458242</c:v>
                </c:pt>
                <c:pt idx="2">
                  <c:v>753.95054720661119</c:v>
                </c:pt>
                <c:pt idx="3">
                  <c:v>325.10128665780013</c:v>
                </c:pt>
                <c:pt idx="4">
                  <c:v>758.45335308841425</c:v>
                </c:pt>
                <c:pt idx="5">
                  <c:v>534.37978686641065</c:v>
                </c:pt>
                <c:pt idx="6">
                  <c:v>618.13452926614991</c:v>
                </c:pt>
                <c:pt idx="7">
                  <c:v>308.40232588594824</c:v>
                </c:pt>
              </c:numCache>
            </c:numRef>
          </c:val>
          <c:extLst>
            <c:ext xmlns:c16="http://schemas.microsoft.com/office/drawing/2014/chart" uri="{C3380CC4-5D6E-409C-BE32-E72D297353CC}">
              <c16:uniqueId val="{00000003-7AAF-421C-A3E1-31CE521F75D5}"/>
            </c:ext>
          </c:extLst>
        </c:ser>
        <c:dLbls>
          <c:showLegendKey val="0"/>
          <c:showVal val="0"/>
          <c:showCatName val="0"/>
          <c:showSerName val="0"/>
          <c:showPercent val="0"/>
          <c:showBubbleSize val="0"/>
        </c:dLbls>
        <c:gapWidth val="219"/>
        <c:overlap val="-27"/>
        <c:axId val="1975778816"/>
        <c:axId val="1975759680"/>
      </c:barChart>
      <c:catAx>
        <c:axId val="197577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1975759680"/>
        <c:crosses val="autoZero"/>
        <c:auto val="1"/>
        <c:lblAlgn val="ctr"/>
        <c:lblOffset val="100"/>
        <c:noMultiLvlLbl val="0"/>
      </c:catAx>
      <c:valAx>
        <c:axId val="1975759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euros</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1975778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'Average cost'!$O$87</c:f>
              <c:strCache>
                <c:ptCount val="1"/>
                <c:pt idx="0">
                  <c:v>Estonia</c:v>
                </c:pt>
              </c:strCache>
            </c:strRef>
          </c:tx>
          <c:spPr>
            <a:solidFill>
              <a:schemeClr val="accent1"/>
            </a:solidFill>
            <a:ln>
              <a:noFill/>
            </a:ln>
            <a:effectLst/>
          </c:spPr>
          <c:invertIfNegative val="0"/>
          <c:cat>
            <c:multiLvlStrRef>
              <c:f>'Average cost'!$P$85:$W$86</c:f>
              <c:multiLvlStrCache>
                <c:ptCount val="8"/>
                <c:lvl>
                  <c:pt idx="0">
                    <c:v>2030</c:v>
                  </c:pt>
                  <c:pt idx="1">
                    <c:v>2050</c:v>
                  </c:pt>
                  <c:pt idx="2">
                    <c:v>2030</c:v>
                  </c:pt>
                  <c:pt idx="3">
                    <c:v>2050</c:v>
                  </c:pt>
                  <c:pt idx="4">
                    <c:v>2030</c:v>
                  </c:pt>
                  <c:pt idx="5">
                    <c:v>2050</c:v>
                  </c:pt>
                  <c:pt idx="6">
                    <c:v>2030</c:v>
                  </c:pt>
                  <c:pt idx="7">
                    <c:v>2050</c:v>
                  </c:pt>
                </c:lvl>
                <c:lvl>
                  <c:pt idx="0">
                    <c:v>BAU</c:v>
                  </c:pt>
                  <c:pt idx="2">
                    <c:v>REN-Methane</c:v>
                  </c:pt>
                  <c:pt idx="4">
                    <c:v>REN-Hydrogen</c:v>
                  </c:pt>
                  <c:pt idx="6">
                    <c:v>CM</c:v>
                  </c:pt>
                </c:lvl>
              </c:multiLvlStrCache>
            </c:multiLvlStrRef>
          </c:cat>
          <c:val>
            <c:numRef>
              <c:f>'Average cost'!$P$87:$W$87</c:f>
              <c:numCache>
                <c:formatCode>_ * #,##0_ ;_ * \-#,##0_ ;_ * "-"??_ ;_ @_ </c:formatCode>
                <c:ptCount val="8"/>
                <c:pt idx="0">
                  <c:v>13598.100949990763</c:v>
                </c:pt>
                <c:pt idx="1">
                  <c:v>10632.268627790323</c:v>
                </c:pt>
                <c:pt idx="2">
                  <c:v>18797.533113046746</c:v>
                </c:pt>
                <c:pt idx="3">
                  <c:v>5790.2608325444226</c:v>
                </c:pt>
                <c:pt idx="4">
                  <c:v>13911.34953152971</c:v>
                </c:pt>
                <c:pt idx="5">
                  <c:v>8176.2179525525271</c:v>
                </c:pt>
                <c:pt idx="6">
                  <c:v>9073.356411824685</c:v>
                </c:pt>
                <c:pt idx="7">
                  <c:v>5064.9390841391123</c:v>
                </c:pt>
              </c:numCache>
            </c:numRef>
          </c:val>
          <c:extLst>
            <c:ext xmlns:c16="http://schemas.microsoft.com/office/drawing/2014/chart" uri="{C3380CC4-5D6E-409C-BE32-E72D297353CC}">
              <c16:uniqueId val="{00000000-1CE5-48FE-82A9-2BBD2027AAB6}"/>
            </c:ext>
          </c:extLst>
        </c:ser>
        <c:ser>
          <c:idx val="1"/>
          <c:order val="1"/>
          <c:tx>
            <c:strRef>
              <c:f>'Average cost'!$O$88</c:f>
              <c:strCache>
                <c:ptCount val="1"/>
                <c:pt idx="0">
                  <c:v>Latvia</c:v>
                </c:pt>
              </c:strCache>
            </c:strRef>
          </c:tx>
          <c:spPr>
            <a:solidFill>
              <a:schemeClr val="accent2"/>
            </a:solidFill>
            <a:ln>
              <a:noFill/>
            </a:ln>
            <a:effectLst/>
          </c:spPr>
          <c:invertIfNegative val="0"/>
          <c:cat>
            <c:multiLvlStrRef>
              <c:f>'Average cost'!$P$85:$W$86</c:f>
              <c:multiLvlStrCache>
                <c:ptCount val="8"/>
                <c:lvl>
                  <c:pt idx="0">
                    <c:v>2030</c:v>
                  </c:pt>
                  <c:pt idx="1">
                    <c:v>2050</c:v>
                  </c:pt>
                  <c:pt idx="2">
                    <c:v>2030</c:v>
                  </c:pt>
                  <c:pt idx="3">
                    <c:v>2050</c:v>
                  </c:pt>
                  <c:pt idx="4">
                    <c:v>2030</c:v>
                  </c:pt>
                  <c:pt idx="5">
                    <c:v>2050</c:v>
                  </c:pt>
                  <c:pt idx="6">
                    <c:v>2030</c:v>
                  </c:pt>
                  <c:pt idx="7">
                    <c:v>2050</c:v>
                  </c:pt>
                </c:lvl>
                <c:lvl>
                  <c:pt idx="0">
                    <c:v>BAU</c:v>
                  </c:pt>
                  <c:pt idx="2">
                    <c:v>REN-Methane</c:v>
                  </c:pt>
                  <c:pt idx="4">
                    <c:v>REN-Hydrogen</c:v>
                  </c:pt>
                  <c:pt idx="6">
                    <c:v>CM</c:v>
                  </c:pt>
                </c:lvl>
              </c:multiLvlStrCache>
            </c:multiLvlStrRef>
          </c:cat>
          <c:val>
            <c:numRef>
              <c:f>'Average cost'!$P$88:$W$88</c:f>
              <c:numCache>
                <c:formatCode>_ * #,##0_ ;_ * \-#,##0_ ;_ * "-"??_ ;_ @_ </c:formatCode>
                <c:ptCount val="8"/>
                <c:pt idx="0">
                  <c:v>13161.571542872387</c:v>
                </c:pt>
                <c:pt idx="1">
                  <c:v>10604.7040612579</c:v>
                </c:pt>
                <c:pt idx="2">
                  <c:v>14042.087911646617</c:v>
                </c:pt>
                <c:pt idx="3">
                  <c:v>5182.3553319682078</c:v>
                </c:pt>
                <c:pt idx="4">
                  <c:v>13350.910155778305</c:v>
                </c:pt>
                <c:pt idx="5">
                  <c:v>7132.3403990310062</c:v>
                </c:pt>
                <c:pt idx="6">
                  <c:v>10904.710737554888</c:v>
                </c:pt>
                <c:pt idx="7">
                  <c:v>3628.386528178426</c:v>
                </c:pt>
              </c:numCache>
            </c:numRef>
          </c:val>
          <c:extLst>
            <c:ext xmlns:c16="http://schemas.microsoft.com/office/drawing/2014/chart" uri="{C3380CC4-5D6E-409C-BE32-E72D297353CC}">
              <c16:uniqueId val="{00000001-1CE5-48FE-82A9-2BBD2027AAB6}"/>
            </c:ext>
          </c:extLst>
        </c:ser>
        <c:ser>
          <c:idx val="2"/>
          <c:order val="2"/>
          <c:tx>
            <c:strRef>
              <c:f>'Average cost'!$O$89</c:f>
              <c:strCache>
                <c:ptCount val="1"/>
                <c:pt idx="0">
                  <c:v>Lithuania</c:v>
                </c:pt>
              </c:strCache>
            </c:strRef>
          </c:tx>
          <c:spPr>
            <a:solidFill>
              <a:schemeClr val="accent3"/>
            </a:solidFill>
            <a:ln>
              <a:noFill/>
            </a:ln>
            <a:effectLst/>
          </c:spPr>
          <c:invertIfNegative val="0"/>
          <c:cat>
            <c:multiLvlStrRef>
              <c:f>'Average cost'!$P$85:$W$86</c:f>
              <c:multiLvlStrCache>
                <c:ptCount val="8"/>
                <c:lvl>
                  <c:pt idx="0">
                    <c:v>2030</c:v>
                  </c:pt>
                  <c:pt idx="1">
                    <c:v>2050</c:v>
                  </c:pt>
                  <c:pt idx="2">
                    <c:v>2030</c:v>
                  </c:pt>
                  <c:pt idx="3">
                    <c:v>2050</c:v>
                  </c:pt>
                  <c:pt idx="4">
                    <c:v>2030</c:v>
                  </c:pt>
                  <c:pt idx="5">
                    <c:v>2050</c:v>
                  </c:pt>
                  <c:pt idx="6">
                    <c:v>2030</c:v>
                  </c:pt>
                  <c:pt idx="7">
                    <c:v>2050</c:v>
                  </c:pt>
                </c:lvl>
                <c:lvl>
                  <c:pt idx="0">
                    <c:v>BAU</c:v>
                  </c:pt>
                  <c:pt idx="2">
                    <c:v>REN-Methane</c:v>
                  </c:pt>
                  <c:pt idx="4">
                    <c:v>REN-Hydrogen</c:v>
                  </c:pt>
                  <c:pt idx="6">
                    <c:v>CM</c:v>
                  </c:pt>
                </c:lvl>
              </c:multiLvlStrCache>
            </c:multiLvlStrRef>
          </c:cat>
          <c:val>
            <c:numRef>
              <c:f>'Average cost'!$P$89:$W$89</c:f>
              <c:numCache>
                <c:formatCode>_ * #,##0_ ;_ * \-#,##0_ ;_ * "-"??_ ;_ @_ </c:formatCode>
                <c:ptCount val="8"/>
                <c:pt idx="0">
                  <c:v>12891.984208810223</c:v>
                </c:pt>
                <c:pt idx="1">
                  <c:v>9973.7833186306689</c:v>
                </c:pt>
                <c:pt idx="2">
                  <c:v>14898.449348389964</c:v>
                </c:pt>
                <c:pt idx="3">
                  <c:v>5249.6426024280672</c:v>
                </c:pt>
                <c:pt idx="4">
                  <c:v>13199.556622576314</c:v>
                </c:pt>
                <c:pt idx="5">
                  <c:v>7923.0164004275885</c:v>
                </c:pt>
                <c:pt idx="6">
                  <c:v>11017.190652355346</c:v>
                </c:pt>
                <c:pt idx="7">
                  <c:v>4825.3021845238354</c:v>
                </c:pt>
              </c:numCache>
            </c:numRef>
          </c:val>
          <c:extLst>
            <c:ext xmlns:c16="http://schemas.microsoft.com/office/drawing/2014/chart" uri="{C3380CC4-5D6E-409C-BE32-E72D297353CC}">
              <c16:uniqueId val="{00000002-1CE5-48FE-82A9-2BBD2027AAB6}"/>
            </c:ext>
          </c:extLst>
        </c:ser>
        <c:ser>
          <c:idx val="3"/>
          <c:order val="3"/>
          <c:tx>
            <c:strRef>
              <c:f>'Average cost'!$O$90</c:f>
              <c:strCache>
                <c:ptCount val="1"/>
                <c:pt idx="0">
                  <c:v>Finland</c:v>
                </c:pt>
              </c:strCache>
            </c:strRef>
          </c:tx>
          <c:spPr>
            <a:solidFill>
              <a:schemeClr val="accent4"/>
            </a:solidFill>
            <a:ln>
              <a:noFill/>
            </a:ln>
            <a:effectLst/>
          </c:spPr>
          <c:invertIfNegative val="0"/>
          <c:cat>
            <c:multiLvlStrRef>
              <c:f>'Average cost'!$P$85:$W$86</c:f>
              <c:multiLvlStrCache>
                <c:ptCount val="8"/>
                <c:lvl>
                  <c:pt idx="0">
                    <c:v>2030</c:v>
                  </c:pt>
                  <c:pt idx="1">
                    <c:v>2050</c:v>
                  </c:pt>
                  <c:pt idx="2">
                    <c:v>2030</c:v>
                  </c:pt>
                  <c:pt idx="3">
                    <c:v>2050</c:v>
                  </c:pt>
                  <c:pt idx="4">
                    <c:v>2030</c:v>
                  </c:pt>
                  <c:pt idx="5">
                    <c:v>2050</c:v>
                  </c:pt>
                  <c:pt idx="6">
                    <c:v>2030</c:v>
                  </c:pt>
                  <c:pt idx="7">
                    <c:v>2050</c:v>
                  </c:pt>
                </c:lvl>
                <c:lvl>
                  <c:pt idx="0">
                    <c:v>BAU</c:v>
                  </c:pt>
                  <c:pt idx="2">
                    <c:v>REN-Methane</c:v>
                  </c:pt>
                  <c:pt idx="4">
                    <c:v>REN-Hydrogen</c:v>
                  </c:pt>
                  <c:pt idx="6">
                    <c:v>CM</c:v>
                  </c:pt>
                </c:lvl>
              </c:multiLvlStrCache>
            </c:multiLvlStrRef>
          </c:cat>
          <c:val>
            <c:numRef>
              <c:f>'Average cost'!$P$90:$W$90</c:f>
              <c:numCache>
                <c:formatCode>_ * #,##0_ ;_ * \-#,##0_ ;_ * "-"??_ ;_ @_ </c:formatCode>
                <c:ptCount val="8"/>
                <c:pt idx="0">
                  <c:v>15225.323625978119</c:v>
                </c:pt>
                <c:pt idx="1">
                  <c:v>10044.176477713356</c:v>
                </c:pt>
                <c:pt idx="2">
                  <c:v>15200.615871101032</c:v>
                </c:pt>
                <c:pt idx="3">
                  <c:v>6554.4614245524226</c:v>
                </c:pt>
                <c:pt idx="4">
                  <c:v>15291.398247750287</c:v>
                </c:pt>
                <c:pt idx="5">
                  <c:v>10773.786025532474</c:v>
                </c:pt>
                <c:pt idx="6">
                  <c:v>12462.38970294657</c:v>
                </c:pt>
                <c:pt idx="7">
                  <c:v>6217.7888283457305</c:v>
                </c:pt>
              </c:numCache>
            </c:numRef>
          </c:val>
          <c:extLst>
            <c:ext xmlns:c16="http://schemas.microsoft.com/office/drawing/2014/chart" uri="{C3380CC4-5D6E-409C-BE32-E72D297353CC}">
              <c16:uniqueId val="{00000003-1CE5-48FE-82A9-2BBD2027AAB6}"/>
            </c:ext>
          </c:extLst>
        </c:ser>
        <c:dLbls>
          <c:showLegendKey val="0"/>
          <c:showVal val="0"/>
          <c:showCatName val="0"/>
          <c:showSerName val="0"/>
          <c:showPercent val="0"/>
          <c:showBubbleSize val="0"/>
        </c:dLbls>
        <c:gapWidth val="219"/>
        <c:overlap val="-27"/>
        <c:axId val="1975564112"/>
        <c:axId val="1975563696"/>
      </c:barChart>
      <c:catAx>
        <c:axId val="1975564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1975563696"/>
        <c:crosses val="autoZero"/>
        <c:auto val="1"/>
        <c:lblAlgn val="ctr"/>
        <c:lblOffset val="100"/>
        <c:noMultiLvlLbl val="0"/>
      </c:catAx>
      <c:valAx>
        <c:axId val="197556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euros</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1975564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lineChart>
        <c:grouping val="standard"/>
        <c:varyColors val="0"/>
        <c:ser>
          <c:idx val="0"/>
          <c:order val="0"/>
          <c:spPr>
            <a:ln w="28575" cap="rnd">
              <a:solidFill>
                <a:schemeClr val="accent1"/>
              </a:solidFill>
              <a:round/>
            </a:ln>
            <a:effectLst/>
          </c:spPr>
          <c:marker>
            <c:symbol val="none"/>
          </c:marker>
          <c:val>
            <c:numRef>
              <c:f>#REF!</c:f>
              <c:numCache>
                <c:formatCode>0</c:formatCode>
                <c:ptCount val="12"/>
                <c:pt idx="0">
                  <c:v>70.459958125785718</c:v>
                </c:pt>
                <c:pt idx="1">
                  <c:v>55.089657457082787</c:v>
                </c:pt>
                <c:pt idx="2">
                  <c:v>69.542275671314997</c:v>
                </c:pt>
                <c:pt idx="3">
                  <c:v>63.850699191876998</c:v>
                </c:pt>
                <c:pt idx="4">
                  <c:v>60.351626852517775</c:v>
                </c:pt>
                <c:pt idx="5">
                  <c:v>45.989468651351181</c:v>
                </c:pt>
                <c:pt idx="6">
                  <c:v>60.398427127673628</c:v>
                </c:pt>
                <c:pt idx="7">
                  <c:v>54.563523294583113</c:v>
                </c:pt>
                <c:pt idx="8">
                  <c:v>57.43845349682433</c:v>
                </c:pt>
                <c:pt idx="9">
                  <c:v>43.366837195776945</c:v>
                </c:pt>
                <c:pt idx="10">
                  <c:v>57.85062508664911</c:v>
                </c:pt>
                <c:pt idx="11">
                  <c:v>51.88700304190958</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Biomethane production cost</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15:cat>
              </c15:filteredCategoryTitle>
            </c:ext>
            <c:ext xmlns:c16="http://schemas.microsoft.com/office/drawing/2014/chart" uri="{C3380CC4-5D6E-409C-BE32-E72D297353CC}">
              <c16:uniqueId val="{00000000-FA68-461B-8033-851C89FB830C}"/>
            </c:ext>
          </c:extLst>
        </c:ser>
        <c:ser>
          <c:idx val="1"/>
          <c:order val="1"/>
          <c:spPr>
            <a:ln w="28575" cap="rnd">
              <a:solidFill>
                <a:schemeClr val="accent2"/>
              </a:solidFill>
              <a:round/>
            </a:ln>
            <a:effectLst/>
          </c:spPr>
          <c:marker>
            <c:symbol val="none"/>
          </c:marker>
          <c:val>
            <c:numRef>
              <c:f>#REF!</c:f>
              <c:numCache>
                <c:formatCode>0</c:formatCode>
                <c:ptCount val="12"/>
                <c:pt idx="0">
                  <c:v>372.04141625987012</c:v>
                </c:pt>
                <c:pt idx="1">
                  <c:v>376.25477187249805</c:v>
                </c:pt>
                <c:pt idx="2">
                  <c:v>309.46503643921108</c:v>
                </c:pt>
                <c:pt idx="3">
                  <c:v>324.67192945200111</c:v>
                </c:pt>
                <c:pt idx="4">
                  <c:v>198.66097451305046</c:v>
                </c:pt>
                <c:pt idx="5">
                  <c:v>193.4757628007379</c:v>
                </c:pt>
                <c:pt idx="6">
                  <c:v>187.02214173637651</c:v>
                </c:pt>
                <c:pt idx="7">
                  <c:v>194.71317033722883</c:v>
                </c:pt>
                <c:pt idx="8">
                  <c:v>167.08821724966663</c:v>
                </c:pt>
                <c:pt idx="9">
                  <c:v>165.82909585050982</c:v>
                </c:pt>
                <c:pt idx="10">
                  <c:v>155.81587545774593</c:v>
                </c:pt>
                <c:pt idx="11">
                  <c:v>162.385847675946</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Hydrogen production cost</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15:cat>
              </c15:filteredCategoryTitle>
            </c:ext>
            <c:ext xmlns:c16="http://schemas.microsoft.com/office/drawing/2014/chart" uri="{C3380CC4-5D6E-409C-BE32-E72D297353CC}">
              <c16:uniqueId val="{00000001-FA68-461B-8033-851C89FB830C}"/>
            </c:ext>
          </c:extLst>
        </c:ser>
        <c:ser>
          <c:idx val="3"/>
          <c:order val="3"/>
          <c:spPr>
            <a:ln w="28575" cap="rnd">
              <a:solidFill>
                <a:schemeClr val="accent4"/>
              </a:solidFill>
              <a:round/>
            </a:ln>
            <a:effectLst/>
          </c:spPr>
          <c:marker>
            <c:symbol val="none"/>
          </c:marker>
          <c:val>
            <c:numRef>
              <c:f>#REF!</c:f>
              <c:numCache>
                <c:formatCode>0</c:formatCode>
                <c:ptCount val="12"/>
                <c:pt idx="0">
                  <c:v>112.8</c:v>
                </c:pt>
                <c:pt idx="1">
                  <c:v>112.8</c:v>
                </c:pt>
                <c:pt idx="2">
                  <c:v>112.8</c:v>
                </c:pt>
                <c:pt idx="3">
                  <c:v>112.8</c:v>
                </c:pt>
                <c:pt idx="4">
                  <c:v>124.6</c:v>
                </c:pt>
                <c:pt idx="5">
                  <c:v>124.6</c:v>
                </c:pt>
                <c:pt idx="6">
                  <c:v>124.6</c:v>
                </c:pt>
                <c:pt idx="7">
                  <c:v>124.6</c:v>
                </c:pt>
                <c:pt idx="8">
                  <c:v>137.6</c:v>
                </c:pt>
                <c:pt idx="9">
                  <c:v>137.6</c:v>
                </c:pt>
                <c:pt idx="10">
                  <c:v>137.6</c:v>
                </c:pt>
                <c:pt idx="11">
                  <c:v>137.6</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NG price with ETS</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15:cat>
              </c15:filteredCategoryTitle>
            </c:ext>
            <c:ext xmlns:c16="http://schemas.microsoft.com/office/drawing/2014/chart" uri="{C3380CC4-5D6E-409C-BE32-E72D297353CC}">
              <c16:uniqueId val="{00000002-FA68-461B-8033-851C89FB830C}"/>
            </c:ext>
          </c:extLst>
        </c:ser>
        <c:ser>
          <c:idx val="4"/>
          <c:order val="4"/>
          <c:spPr>
            <a:ln w="28575" cap="rnd">
              <a:solidFill>
                <a:schemeClr val="accent5"/>
              </a:solidFill>
              <a:round/>
            </a:ln>
            <a:effectLst/>
          </c:spPr>
          <c:marker>
            <c:symbol val="none"/>
          </c:marker>
          <c:val>
            <c:numRef>
              <c:f>#REF!</c:f>
              <c:numCache>
                <c:formatCode>0</c:formatCode>
                <c:ptCount val="12"/>
                <c:pt idx="0">
                  <c:v>91.36</c:v>
                </c:pt>
                <c:pt idx="1">
                  <c:v>91.36</c:v>
                </c:pt>
                <c:pt idx="2">
                  <c:v>91.36</c:v>
                </c:pt>
                <c:pt idx="3">
                  <c:v>91.36</c:v>
                </c:pt>
                <c:pt idx="4">
                  <c:v>94.15</c:v>
                </c:pt>
                <c:pt idx="5">
                  <c:v>94.15</c:v>
                </c:pt>
                <c:pt idx="6">
                  <c:v>94.15</c:v>
                </c:pt>
                <c:pt idx="7">
                  <c:v>94.15</c:v>
                </c:pt>
                <c:pt idx="8">
                  <c:v>96.27</c:v>
                </c:pt>
                <c:pt idx="9">
                  <c:v>96.27</c:v>
                </c:pt>
                <c:pt idx="10">
                  <c:v>96.27</c:v>
                </c:pt>
                <c:pt idx="11">
                  <c:v>96.27</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NG price without ETS</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15:cat>
              </c15:filteredCategoryTitle>
            </c:ext>
            <c:ext xmlns:c16="http://schemas.microsoft.com/office/drawing/2014/chart" uri="{C3380CC4-5D6E-409C-BE32-E72D297353CC}">
              <c16:uniqueId val="{00000003-FA68-461B-8033-851C89FB830C}"/>
            </c:ext>
          </c:extLst>
        </c:ser>
        <c:dLbls>
          <c:showLegendKey val="0"/>
          <c:showVal val="0"/>
          <c:showCatName val="0"/>
          <c:showSerName val="0"/>
          <c:showPercent val="0"/>
          <c:showBubbleSize val="0"/>
        </c:dLbls>
        <c:marker val="1"/>
        <c:smooth val="0"/>
        <c:axId val="559910911"/>
        <c:axId val="559906335"/>
      </c:lineChart>
      <c:scatterChart>
        <c:scatterStyle val="lineMarker"/>
        <c:varyColors val="0"/>
        <c:ser>
          <c:idx val="2"/>
          <c:order val="2"/>
          <c:spPr>
            <a:ln w="25400" cap="rnd">
              <a:noFill/>
              <a:round/>
            </a:ln>
            <a:effectLst/>
          </c:spPr>
          <c:marker>
            <c:symbol val="circle"/>
            <c:size val="5"/>
            <c:spPr>
              <a:solidFill>
                <a:schemeClr val="accent3"/>
              </a:solidFill>
              <a:ln w="9525">
                <a:solidFill>
                  <a:schemeClr val="accent3"/>
                </a:solidFill>
              </a:ln>
              <a:effectLst/>
            </c:spPr>
          </c:marker>
          <c:xVal>
            <c:multiLvlStrRef>
              <c:f>#REF!</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xVal>
          <c:yVal>
            <c:numRef>
              <c:f>#REF!</c:f>
              <c:numCache>
                <c:formatCode>0</c:formatCode>
                <c:ptCount val="12"/>
                <c:pt idx="0">
                  <c:v>0</c:v>
                </c:pt>
                <c:pt idx="1">
                  <c:v>0</c:v>
                </c:pt>
                <c:pt idx="2">
                  <c:v>0</c:v>
                </c:pt>
                <c:pt idx="3">
                  <c:v>0</c:v>
                </c:pt>
                <c:pt idx="4">
                  <c:v>0</c:v>
                </c:pt>
                <c:pt idx="5">
                  <c:v>0</c:v>
                </c:pt>
                <c:pt idx="6">
                  <c:v>202.14370311814497</c:v>
                </c:pt>
                <c:pt idx="7">
                  <c:v>0</c:v>
                </c:pt>
                <c:pt idx="8">
                  <c:v>0</c:v>
                </c:pt>
                <c:pt idx="9">
                  <c:v>0</c:v>
                </c:pt>
                <c:pt idx="10">
                  <c:v>188.94934977701308</c:v>
                </c:pt>
                <c:pt idx="11">
                  <c:v>0</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SNG production cost</c:v>
                      </c:pt>
                    </c:strCache>
                  </c:strRef>
                </c15:tx>
              </c15:filteredSeriesTitle>
            </c:ext>
            <c:ext xmlns:c16="http://schemas.microsoft.com/office/drawing/2014/chart" uri="{C3380CC4-5D6E-409C-BE32-E72D297353CC}">
              <c16:uniqueId val="{00000004-FA68-461B-8033-851C89FB830C}"/>
            </c:ext>
          </c:extLst>
        </c:ser>
        <c:dLbls>
          <c:showLegendKey val="0"/>
          <c:showVal val="0"/>
          <c:showCatName val="0"/>
          <c:showSerName val="0"/>
          <c:showPercent val="0"/>
          <c:showBubbleSize val="0"/>
        </c:dLbls>
        <c:axId val="559910911"/>
        <c:axId val="559906335"/>
      </c:scatterChart>
      <c:catAx>
        <c:axId val="559910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559906335"/>
        <c:crosses val="autoZero"/>
        <c:auto val="1"/>
        <c:lblAlgn val="ctr"/>
        <c:lblOffset val="100"/>
        <c:noMultiLvlLbl val="0"/>
      </c:catAx>
      <c:valAx>
        <c:axId val="5599063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EUR/MWh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55991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01B-4D91-B420-58E550D50726}"/>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01B-4D91-B420-58E550D5072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101B-4D91-B420-58E550D5072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101B-4D91-B420-58E550D50726}"/>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101B-4D91-B420-58E550D50726}"/>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101B-4D91-B420-58E550D50726}"/>
              </c:ext>
            </c:extLst>
          </c:dPt>
          <c:cat>
            <c:strRef>
              <c:f>Charts!$E$10:$J$10</c:f>
              <c:strCache>
                <c:ptCount val="6"/>
                <c:pt idx="0">
                  <c:v>Series 1</c:v>
                </c:pt>
                <c:pt idx="1">
                  <c:v>Series 2</c:v>
                </c:pt>
                <c:pt idx="2">
                  <c:v>Series 3</c:v>
                </c:pt>
                <c:pt idx="3">
                  <c:v>Series 4</c:v>
                </c:pt>
                <c:pt idx="4">
                  <c:v>Series 5</c:v>
                </c:pt>
                <c:pt idx="5">
                  <c:v>Series 6</c:v>
                </c:pt>
              </c:strCache>
            </c:strRef>
          </c:cat>
          <c:val>
            <c:numRef>
              <c:f>Charts!$E$11:$J$11</c:f>
              <c:numCache>
                <c:formatCode>General</c:formatCode>
                <c:ptCount val="6"/>
                <c:pt idx="0">
                  <c:v>4</c:v>
                </c:pt>
                <c:pt idx="1">
                  <c:v>6</c:v>
                </c:pt>
                <c:pt idx="2">
                  <c:v>3</c:v>
                </c:pt>
                <c:pt idx="3">
                  <c:v>7</c:v>
                </c:pt>
                <c:pt idx="4">
                  <c:v>8</c:v>
                </c:pt>
                <c:pt idx="5">
                  <c:v>9</c:v>
                </c:pt>
              </c:numCache>
            </c:numRef>
          </c:val>
          <c:extLst>
            <c:ext xmlns:c16="http://schemas.microsoft.com/office/drawing/2014/chart" uri="{C3380CC4-5D6E-409C-BE32-E72D297353CC}">
              <c16:uniqueId val="{00000000-2EDB-4CAB-B31B-7168C639516C}"/>
            </c:ext>
          </c:extLst>
        </c:ser>
        <c:dLbls>
          <c:showLegendKey val="0"/>
          <c:showVal val="0"/>
          <c:showCatName val="0"/>
          <c:showSerName val="0"/>
          <c:showPercent val="0"/>
          <c:showBubbleSize val="0"/>
        </c:dLbls>
        <c:gapWidth val="219"/>
        <c:overlap val="-27"/>
        <c:axId val="364691008"/>
        <c:axId val="364688056"/>
      </c:barChart>
      <c:catAx>
        <c:axId val="36469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364688056"/>
        <c:crosses val="autoZero"/>
        <c:auto val="1"/>
        <c:lblAlgn val="ctr"/>
        <c:lblOffset val="100"/>
        <c:noMultiLvlLbl val="0"/>
      </c:catAx>
      <c:valAx>
        <c:axId val="364688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Unit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3646910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barChart>
        <c:barDir val="col"/>
        <c:grouping val="clustered"/>
        <c:varyColors val="1"/>
        <c:ser>
          <c:idx val="0"/>
          <c:order val="0"/>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45C-4539-85C6-53BBCA7BFA35}"/>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845C-4539-85C6-53BBCA7BFA35}"/>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845C-4539-85C6-53BBCA7BFA35}"/>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845C-4539-85C6-53BBCA7BFA35}"/>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845C-4539-85C6-53BBCA7BFA35}"/>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845C-4539-85C6-53BBCA7BFA35}"/>
              </c:ext>
            </c:extLst>
          </c:dPt>
          <c:cat>
            <c:strRef>
              <c:f>Charts!$E$10:$J$10</c:f>
              <c:strCache>
                <c:ptCount val="6"/>
                <c:pt idx="0">
                  <c:v>Series 1</c:v>
                </c:pt>
                <c:pt idx="1">
                  <c:v>Series 2</c:v>
                </c:pt>
                <c:pt idx="2">
                  <c:v>Series 3</c:v>
                </c:pt>
                <c:pt idx="3">
                  <c:v>Series 4</c:v>
                </c:pt>
                <c:pt idx="4">
                  <c:v>Series 5</c:v>
                </c:pt>
                <c:pt idx="5">
                  <c:v>Series 6</c:v>
                </c:pt>
              </c:strCache>
            </c:strRef>
          </c:cat>
          <c:val>
            <c:numRef>
              <c:f>Charts!$E$11:$J$11</c:f>
              <c:numCache>
                <c:formatCode>General</c:formatCode>
                <c:ptCount val="6"/>
                <c:pt idx="0">
                  <c:v>4</c:v>
                </c:pt>
                <c:pt idx="1">
                  <c:v>6</c:v>
                </c:pt>
                <c:pt idx="2">
                  <c:v>3</c:v>
                </c:pt>
                <c:pt idx="3">
                  <c:v>7</c:v>
                </c:pt>
                <c:pt idx="4">
                  <c:v>8</c:v>
                </c:pt>
                <c:pt idx="5">
                  <c:v>9</c:v>
                </c:pt>
              </c:numCache>
            </c:numRef>
          </c:val>
          <c:extLst>
            <c:ext xmlns:c16="http://schemas.microsoft.com/office/drawing/2014/chart" uri="{C3380CC4-5D6E-409C-BE32-E72D297353CC}">
              <c16:uniqueId val="{0000000C-845C-4539-85C6-53BBCA7BFA35}"/>
            </c:ext>
          </c:extLst>
        </c:ser>
        <c:ser>
          <c:idx val="1"/>
          <c:order val="1"/>
          <c:spPr>
            <a:solidFill>
              <a:schemeClr val="accent2"/>
            </a:solidFill>
            <a:ln>
              <a:noFill/>
            </a:ln>
            <a:effectLst/>
          </c:spPr>
          <c:invertIfNegative val="0"/>
          <c:cat>
            <c:strRef>
              <c:f>Charts!$E$10:$J$10</c:f>
              <c:strCache>
                <c:ptCount val="6"/>
                <c:pt idx="0">
                  <c:v>Series 1</c:v>
                </c:pt>
                <c:pt idx="1">
                  <c:v>Series 2</c:v>
                </c:pt>
                <c:pt idx="2">
                  <c:v>Series 3</c:v>
                </c:pt>
                <c:pt idx="3">
                  <c:v>Series 4</c:v>
                </c:pt>
                <c:pt idx="4">
                  <c:v>Series 5</c:v>
                </c:pt>
                <c:pt idx="5">
                  <c:v>Series 6</c:v>
                </c:pt>
              </c:strCache>
            </c:strRef>
          </c:cat>
          <c:val>
            <c:numRef>
              <c:f>Charts!$E$12:$J$12</c:f>
              <c:numCache>
                <c:formatCode>General</c:formatCode>
                <c:ptCount val="6"/>
                <c:pt idx="0">
                  <c:v>5</c:v>
                </c:pt>
                <c:pt idx="1">
                  <c:v>23</c:v>
                </c:pt>
                <c:pt idx="2">
                  <c:v>7</c:v>
                </c:pt>
                <c:pt idx="3">
                  <c:v>23</c:v>
                </c:pt>
                <c:pt idx="4">
                  <c:v>5</c:v>
                </c:pt>
                <c:pt idx="5">
                  <c:v>9</c:v>
                </c:pt>
              </c:numCache>
            </c:numRef>
          </c:val>
          <c:extLst>
            <c:ext xmlns:c16="http://schemas.microsoft.com/office/drawing/2014/chart" uri="{C3380CC4-5D6E-409C-BE32-E72D297353CC}">
              <c16:uniqueId val="{0000000D-845C-4539-85C6-53BBCA7BFA35}"/>
            </c:ext>
          </c:extLst>
        </c:ser>
        <c:ser>
          <c:idx val="2"/>
          <c:order val="2"/>
          <c:spPr>
            <a:solidFill>
              <a:schemeClr val="accent3"/>
            </a:solidFill>
            <a:ln>
              <a:noFill/>
            </a:ln>
            <a:effectLst/>
          </c:spPr>
          <c:invertIfNegative val="0"/>
          <c:cat>
            <c:strRef>
              <c:f>Charts!$E$10:$J$10</c:f>
              <c:strCache>
                <c:ptCount val="6"/>
                <c:pt idx="0">
                  <c:v>Series 1</c:v>
                </c:pt>
                <c:pt idx="1">
                  <c:v>Series 2</c:v>
                </c:pt>
                <c:pt idx="2">
                  <c:v>Series 3</c:v>
                </c:pt>
                <c:pt idx="3">
                  <c:v>Series 4</c:v>
                </c:pt>
                <c:pt idx="4">
                  <c:v>Series 5</c:v>
                </c:pt>
                <c:pt idx="5">
                  <c:v>Series 6</c:v>
                </c:pt>
              </c:strCache>
            </c:strRef>
          </c:cat>
          <c:val>
            <c:numRef>
              <c:f>Charts!$E$13:$J$13</c:f>
              <c:numCache>
                <c:formatCode>General</c:formatCode>
                <c:ptCount val="6"/>
                <c:pt idx="0">
                  <c:v>6</c:v>
                </c:pt>
                <c:pt idx="1">
                  <c:v>4</c:v>
                </c:pt>
                <c:pt idx="2">
                  <c:v>6</c:v>
                </c:pt>
                <c:pt idx="3">
                  <c:v>4</c:v>
                </c:pt>
                <c:pt idx="4">
                  <c:v>8</c:v>
                </c:pt>
                <c:pt idx="5">
                  <c:v>3</c:v>
                </c:pt>
              </c:numCache>
            </c:numRef>
          </c:val>
          <c:extLst>
            <c:ext xmlns:c16="http://schemas.microsoft.com/office/drawing/2014/chart" uri="{C3380CC4-5D6E-409C-BE32-E72D297353CC}">
              <c16:uniqueId val="{0000000E-845C-4539-85C6-53BBCA7BFA35}"/>
            </c:ext>
          </c:extLst>
        </c:ser>
        <c:dLbls>
          <c:showLegendKey val="0"/>
          <c:showVal val="0"/>
          <c:showCatName val="0"/>
          <c:showSerName val="0"/>
          <c:showPercent val="0"/>
          <c:showBubbleSize val="0"/>
        </c:dLbls>
        <c:gapWidth val="219"/>
        <c:overlap val="-27"/>
        <c:axId val="364691008"/>
        <c:axId val="364688056"/>
      </c:barChart>
      <c:catAx>
        <c:axId val="36469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364688056"/>
        <c:crosses val="autoZero"/>
        <c:auto val="1"/>
        <c:lblAlgn val="ctr"/>
        <c:lblOffset val="100"/>
        <c:noMultiLvlLbl val="0"/>
      </c:catAx>
      <c:valAx>
        <c:axId val="364688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Unit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3646910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6FA8-44CF-B223-778908EAB1DF}"/>
              </c:ext>
            </c:extLst>
          </c:dPt>
          <c:dPt>
            <c:idx val="1"/>
            <c:bubble3D val="0"/>
            <c:spPr>
              <a:solidFill>
                <a:schemeClr val="accent2"/>
              </a:solidFill>
              <a:ln>
                <a:noFill/>
              </a:ln>
              <a:effectLst/>
            </c:spPr>
            <c:extLst>
              <c:ext xmlns:c16="http://schemas.microsoft.com/office/drawing/2014/chart" uri="{C3380CC4-5D6E-409C-BE32-E72D297353CC}">
                <c16:uniqueId val="{00000003-6FA8-44CF-B223-778908EAB1DF}"/>
              </c:ext>
            </c:extLst>
          </c:dPt>
          <c:dPt>
            <c:idx val="2"/>
            <c:bubble3D val="0"/>
            <c:spPr>
              <a:solidFill>
                <a:schemeClr val="accent3"/>
              </a:solidFill>
              <a:ln>
                <a:noFill/>
              </a:ln>
              <a:effectLst/>
            </c:spPr>
            <c:extLst>
              <c:ext xmlns:c16="http://schemas.microsoft.com/office/drawing/2014/chart" uri="{C3380CC4-5D6E-409C-BE32-E72D297353CC}">
                <c16:uniqueId val="{00000005-6FA8-44CF-B223-778908EAB1DF}"/>
              </c:ext>
            </c:extLst>
          </c:dPt>
          <c:dPt>
            <c:idx val="3"/>
            <c:bubble3D val="0"/>
            <c:spPr>
              <a:solidFill>
                <a:schemeClr val="accent4"/>
              </a:solidFill>
              <a:ln>
                <a:noFill/>
              </a:ln>
              <a:effectLst/>
            </c:spPr>
            <c:extLst>
              <c:ext xmlns:c16="http://schemas.microsoft.com/office/drawing/2014/chart" uri="{C3380CC4-5D6E-409C-BE32-E72D297353CC}">
                <c16:uniqueId val="{00000007-6FA8-44CF-B223-778908EAB1DF}"/>
              </c:ext>
            </c:extLst>
          </c:dPt>
          <c:dPt>
            <c:idx val="4"/>
            <c:bubble3D val="0"/>
            <c:spPr>
              <a:solidFill>
                <a:schemeClr val="accent5"/>
              </a:solidFill>
              <a:ln>
                <a:noFill/>
              </a:ln>
              <a:effectLst/>
            </c:spPr>
            <c:extLst>
              <c:ext xmlns:c16="http://schemas.microsoft.com/office/drawing/2014/chart" uri="{C3380CC4-5D6E-409C-BE32-E72D297353CC}">
                <c16:uniqueId val="{00000009-6FA8-44CF-B223-778908EAB1DF}"/>
              </c:ext>
            </c:extLst>
          </c:dPt>
          <c:dPt>
            <c:idx val="5"/>
            <c:bubble3D val="0"/>
            <c:spPr>
              <a:solidFill>
                <a:schemeClr val="accent6"/>
              </a:solidFill>
              <a:ln>
                <a:noFill/>
              </a:ln>
              <a:effectLst/>
            </c:spPr>
            <c:extLst>
              <c:ext xmlns:c16="http://schemas.microsoft.com/office/drawing/2014/chart" uri="{C3380CC4-5D6E-409C-BE32-E72D297353CC}">
                <c16:uniqueId val="{0000000B-6FA8-44CF-B223-778908EAB1D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NL"/>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Charts!$E$10:$J$10</c:f>
              <c:strCache>
                <c:ptCount val="6"/>
                <c:pt idx="0">
                  <c:v>Series 1</c:v>
                </c:pt>
                <c:pt idx="1">
                  <c:v>Series 2</c:v>
                </c:pt>
                <c:pt idx="2">
                  <c:v>Series 3</c:v>
                </c:pt>
                <c:pt idx="3">
                  <c:v>Series 4</c:v>
                </c:pt>
                <c:pt idx="4">
                  <c:v>Series 5</c:v>
                </c:pt>
                <c:pt idx="5">
                  <c:v>Series 6</c:v>
                </c:pt>
              </c:strCache>
            </c:strRef>
          </c:cat>
          <c:val>
            <c:numRef>
              <c:f>Charts!$E$11:$J$11</c:f>
              <c:numCache>
                <c:formatCode>General</c:formatCode>
                <c:ptCount val="6"/>
                <c:pt idx="0">
                  <c:v>4</c:v>
                </c:pt>
                <c:pt idx="1">
                  <c:v>6</c:v>
                </c:pt>
                <c:pt idx="2">
                  <c:v>3</c:v>
                </c:pt>
                <c:pt idx="3">
                  <c:v>7</c:v>
                </c:pt>
                <c:pt idx="4">
                  <c:v>8</c:v>
                </c:pt>
                <c:pt idx="5">
                  <c:v>9</c:v>
                </c:pt>
              </c:numCache>
            </c:numRef>
          </c:val>
          <c:extLst>
            <c:ext xmlns:c16="http://schemas.microsoft.com/office/drawing/2014/chart" uri="{C3380CC4-5D6E-409C-BE32-E72D297353CC}">
              <c16:uniqueId val="{0000000C-6FA8-44CF-B223-778908EAB1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barChart>
        <c:barDir val="col"/>
        <c:grouping val="clustered"/>
        <c:varyColors val="1"/>
        <c:ser>
          <c:idx val="0"/>
          <c:order val="0"/>
          <c:invertIfNegative val="0"/>
          <c:dPt>
            <c:idx val="0"/>
            <c:invertIfNegative val="0"/>
            <c:bubble3D val="0"/>
            <c:spPr>
              <a:pattFill prst="pct90">
                <a:fgClr>
                  <a:srgbClr val="002C54"/>
                </a:fgClr>
                <a:bgClr>
                  <a:schemeClr val="bg1"/>
                </a:bgClr>
              </a:pattFill>
              <a:ln>
                <a:solidFill>
                  <a:srgbClr val="002C54"/>
                </a:solidFill>
              </a:ln>
              <a:effectLst/>
            </c:spPr>
            <c:extLst>
              <c:ext xmlns:c16="http://schemas.microsoft.com/office/drawing/2014/chart" uri="{C3380CC4-5D6E-409C-BE32-E72D297353CC}">
                <c16:uniqueId val="{00000001-4F7E-47E4-8625-A1FE52578E8A}"/>
              </c:ext>
            </c:extLst>
          </c:dPt>
          <c:dPt>
            <c:idx val="1"/>
            <c:invertIfNegative val="0"/>
            <c:bubble3D val="0"/>
            <c:spPr>
              <a:pattFill prst="trellis">
                <a:fgClr>
                  <a:srgbClr val="005962"/>
                </a:fgClr>
                <a:bgClr>
                  <a:schemeClr val="bg1"/>
                </a:bgClr>
              </a:pattFill>
              <a:ln>
                <a:solidFill>
                  <a:srgbClr val="005962"/>
                </a:solidFill>
              </a:ln>
              <a:effectLst/>
            </c:spPr>
            <c:extLst>
              <c:ext xmlns:c16="http://schemas.microsoft.com/office/drawing/2014/chart" uri="{C3380CC4-5D6E-409C-BE32-E72D297353CC}">
                <c16:uniqueId val="{00000003-4F7E-47E4-8625-A1FE52578E8A}"/>
              </c:ext>
            </c:extLst>
          </c:dPt>
          <c:dPt>
            <c:idx val="2"/>
            <c:invertIfNegative val="0"/>
            <c:bubble3D val="0"/>
            <c:spPr>
              <a:pattFill prst="dkUpDiag">
                <a:fgClr>
                  <a:srgbClr val="F04E30"/>
                </a:fgClr>
                <a:bgClr>
                  <a:schemeClr val="bg1"/>
                </a:bgClr>
              </a:pattFill>
              <a:ln>
                <a:solidFill>
                  <a:srgbClr val="F04E30"/>
                </a:solidFill>
              </a:ln>
              <a:effectLst/>
            </c:spPr>
            <c:extLst>
              <c:ext xmlns:c16="http://schemas.microsoft.com/office/drawing/2014/chart" uri="{C3380CC4-5D6E-409C-BE32-E72D297353CC}">
                <c16:uniqueId val="{00000005-4F7E-47E4-8625-A1FE52578E8A}"/>
              </c:ext>
            </c:extLst>
          </c:dPt>
          <c:dPt>
            <c:idx val="3"/>
            <c:invertIfNegative val="0"/>
            <c:bubble3D val="0"/>
            <c:spPr>
              <a:pattFill prst="dkVert">
                <a:fgClr>
                  <a:srgbClr val="B2CECD"/>
                </a:fgClr>
                <a:bgClr>
                  <a:schemeClr val="bg1"/>
                </a:bgClr>
              </a:pattFill>
              <a:ln>
                <a:solidFill>
                  <a:srgbClr val="B2CECD"/>
                </a:solidFill>
              </a:ln>
              <a:effectLst/>
            </c:spPr>
            <c:extLst>
              <c:ext xmlns:c16="http://schemas.microsoft.com/office/drawing/2014/chart" uri="{C3380CC4-5D6E-409C-BE32-E72D297353CC}">
                <c16:uniqueId val="{00000007-4F7E-47E4-8625-A1FE52578E8A}"/>
              </c:ext>
            </c:extLst>
          </c:dPt>
          <c:dPt>
            <c:idx val="4"/>
            <c:invertIfNegative val="0"/>
            <c:bubble3D val="0"/>
            <c:spPr>
              <a:pattFill prst="pct60">
                <a:fgClr>
                  <a:srgbClr val="F3CD66"/>
                </a:fgClr>
                <a:bgClr>
                  <a:schemeClr val="bg1"/>
                </a:bgClr>
              </a:pattFill>
              <a:ln>
                <a:solidFill>
                  <a:srgbClr val="F3CD66"/>
                </a:solidFill>
              </a:ln>
              <a:effectLst/>
            </c:spPr>
            <c:extLst>
              <c:ext xmlns:c16="http://schemas.microsoft.com/office/drawing/2014/chart" uri="{C3380CC4-5D6E-409C-BE32-E72D297353CC}">
                <c16:uniqueId val="{00000009-4F7E-47E4-8625-A1FE52578E8A}"/>
              </c:ext>
            </c:extLst>
          </c:dPt>
          <c:dPt>
            <c:idx val="5"/>
            <c:invertIfNegative val="0"/>
            <c:bubble3D val="0"/>
            <c:spPr>
              <a:pattFill prst="dkHorz">
                <a:fgClr>
                  <a:schemeClr val="tx1"/>
                </a:fgClr>
                <a:bgClr>
                  <a:schemeClr val="bg1"/>
                </a:bgClr>
              </a:pattFill>
              <a:ln>
                <a:solidFill>
                  <a:schemeClr val="tx1"/>
                </a:solidFill>
              </a:ln>
              <a:effectLst/>
            </c:spPr>
            <c:extLst>
              <c:ext xmlns:c16="http://schemas.microsoft.com/office/drawing/2014/chart" uri="{C3380CC4-5D6E-409C-BE32-E72D297353CC}">
                <c16:uniqueId val="{0000000B-4F7E-47E4-8625-A1FE52578E8A}"/>
              </c:ext>
            </c:extLst>
          </c:dPt>
          <c:cat>
            <c:strRef>
              <c:f>Charts!$E$10:$J$10</c:f>
              <c:strCache>
                <c:ptCount val="6"/>
                <c:pt idx="0">
                  <c:v>Series 1</c:v>
                </c:pt>
                <c:pt idx="1">
                  <c:v>Series 2</c:v>
                </c:pt>
                <c:pt idx="2">
                  <c:v>Series 3</c:v>
                </c:pt>
                <c:pt idx="3">
                  <c:v>Series 4</c:v>
                </c:pt>
                <c:pt idx="4">
                  <c:v>Series 5</c:v>
                </c:pt>
                <c:pt idx="5">
                  <c:v>Series 6</c:v>
                </c:pt>
              </c:strCache>
            </c:strRef>
          </c:cat>
          <c:val>
            <c:numRef>
              <c:f>Charts!$E$11:$J$11</c:f>
              <c:numCache>
                <c:formatCode>General</c:formatCode>
                <c:ptCount val="6"/>
                <c:pt idx="0">
                  <c:v>4</c:v>
                </c:pt>
                <c:pt idx="1">
                  <c:v>6</c:v>
                </c:pt>
                <c:pt idx="2">
                  <c:v>3</c:v>
                </c:pt>
                <c:pt idx="3">
                  <c:v>7</c:v>
                </c:pt>
                <c:pt idx="4">
                  <c:v>8</c:v>
                </c:pt>
                <c:pt idx="5">
                  <c:v>9</c:v>
                </c:pt>
              </c:numCache>
            </c:numRef>
          </c:val>
          <c:extLst>
            <c:ext xmlns:c16="http://schemas.microsoft.com/office/drawing/2014/chart" uri="{C3380CC4-5D6E-409C-BE32-E72D297353CC}">
              <c16:uniqueId val="{0000000C-4F7E-47E4-8625-A1FE52578E8A}"/>
            </c:ext>
          </c:extLst>
        </c:ser>
        <c:dLbls>
          <c:showLegendKey val="0"/>
          <c:showVal val="0"/>
          <c:showCatName val="0"/>
          <c:showSerName val="0"/>
          <c:showPercent val="0"/>
          <c:showBubbleSize val="0"/>
        </c:dLbls>
        <c:gapWidth val="219"/>
        <c:overlap val="-27"/>
        <c:axId val="364691008"/>
        <c:axId val="364688056"/>
      </c:barChart>
      <c:catAx>
        <c:axId val="36469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364688056"/>
        <c:crosses val="autoZero"/>
        <c:auto val="1"/>
        <c:lblAlgn val="ctr"/>
        <c:lblOffset val="100"/>
        <c:noMultiLvlLbl val="0"/>
      </c:catAx>
      <c:valAx>
        <c:axId val="364688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Unit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3646910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pieChart>
        <c:varyColors val="1"/>
        <c:ser>
          <c:idx val="0"/>
          <c:order val="0"/>
          <c:dPt>
            <c:idx val="0"/>
            <c:bubble3D val="0"/>
            <c:spPr>
              <a:pattFill prst="pct90">
                <a:fgClr>
                  <a:srgbClr val="002C54"/>
                </a:fgClr>
                <a:bgClr>
                  <a:schemeClr val="bg1"/>
                </a:bgClr>
              </a:pattFill>
              <a:ln>
                <a:solidFill>
                  <a:srgbClr val="002C54"/>
                </a:solidFill>
              </a:ln>
              <a:effectLst/>
            </c:spPr>
            <c:extLst>
              <c:ext xmlns:c16="http://schemas.microsoft.com/office/drawing/2014/chart" uri="{C3380CC4-5D6E-409C-BE32-E72D297353CC}">
                <c16:uniqueId val="{00000001-0B91-4AC6-B8AE-85AC358DA1D7}"/>
              </c:ext>
            </c:extLst>
          </c:dPt>
          <c:dPt>
            <c:idx val="1"/>
            <c:bubble3D val="0"/>
            <c:spPr>
              <a:pattFill prst="trellis">
                <a:fgClr>
                  <a:srgbClr val="005962"/>
                </a:fgClr>
                <a:bgClr>
                  <a:schemeClr val="bg1"/>
                </a:bgClr>
              </a:pattFill>
              <a:ln>
                <a:solidFill>
                  <a:srgbClr val="005962"/>
                </a:solidFill>
              </a:ln>
              <a:effectLst/>
            </c:spPr>
            <c:extLst>
              <c:ext xmlns:c16="http://schemas.microsoft.com/office/drawing/2014/chart" uri="{C3380CC4-5D6E-409C-BE32-E72D297353CC}">
                <c16:uniqueId val="{00000003-0B91-4AC6-B8AE-85AC358DA1D7}"/>
              </c:ext>
            </c:extLst>
          </c:dPt>
          <c:dPt>
            <c:idx val="2"/>
            <c:bubble3D val="0"/>
            <c:spPr>
              <a:pattFill prst="dkUpDiag">
                <a:fgClr>
                  <a:srgbClr val="F04E30"/>
                </a:fgClr>
                <a:bgClr>
                  <a:schemeClr val="bg1"/>
                </a:bgClr>
              </a:pattFill>
              <a:ln>
                <a:solidFill>
                  <a:srgbClr val="F04E30"/>
                </a:solidFill>
              </a:ln>
              <a:effectLst/>
            </c:spPr>
            <c:extLst>
              <c:ext xmlns:c16="http://schemas.microsoft.com/office/drawing/2014/chart" uri="{C3380CC4-5D6E-409C-BE32-E72D297353CC}">
                <c16:uniqueId val="{00000005-0B91-4AC6-B8AE-85AC358DA1D7}"/>
              </c:ext>
            </c:extLst>
          </c:dPt>
          <c:dPt>
            <c:idx val="3"/>
            <c:bubble3D val="0"/>
            <c:spPr>
              <a:pattFill prst="dkVert">
                <a:fgClr>
                  <a:srgbClr val="B2CECD"/>
                </a:fgClr>
                <a:bgClr>
                  <a:schemeClr val="bg1"/>
                </a:bgClr>
              </a:pattFill>
              <a:ln>
                <a:solidFill>
                  <a:srgbClr val="B2CECD"/>
                </a:solidFill>
              </a:ln>
              <a:effectLst/>
            </c:spPr>
            <c:extLst>
              <c:ext xmlns:c16="http://schemas.microsoft.com/office/drawing/2014/chart" uri="{C3380CC4-5D6E-409C-BE32-E72D297353CC}">
                <c16:uniqueId val="{00000007-0B91-4AC6-B8AE-85AC358DA1D7}"/>
              </c:ext>
            </c:extLst>
          </c:dPt>
          <c:dPt>
            <c:idx val="4"/>
            <c:bubble3D val="0"/>
            <c:spPr>
              <a:pattFill prst="pct60">
                <a:fgClr>
                  <a:srgbClr val="F3CD66"/>
                </a:fgClr>
                <a:bgClr>
                  <a:schemeClr val="bg1"/>
                </a:bgClr>
              </a:pattFill>
              <a:ln>
                <a:solidFill>
                  <a:srgbClr val="F3CD66"/>
                </a:solidFill>
              </a:ln>
              <a:effectLst/>
            </c:spPr>
            <c:extLst>
              <c:ext xmlns:c16="http://schemas.microsoft.com/office/drawing/2014/chart" uri="{C3380CC4-5D6E-409C-BE32-E72D297353CC}">
                <c16:uniqueId val="{00000009-0B91-4AC6-B8AE-85AC358DA1D7}"/>
              </c:ext>
            </c:extLst>
          </c:dPt>
          <c:dPt>
            <c:idx val="5"/>
            <c:bubble3D val="0"/>
            <c:spPr>
              <a:pattFill prst="dkHorz">
                <a:fgClr>
                  <a:schemeClr val="tx1"/>
                </a:fgClr>
                <a:bgClr>
                  <a:schemeClr val="bg1"/>
                </a:bgClr>
              </a:pattFill>
              <a:ln>
                <a:solidFill>
                  <a:schemeClr val="tx1"/>
                </a:solidFill>
              </a:ln>
              <a:effectLst/>
            </c:spPr>
            <c:extLst>
              <c:ext xmlns:c16="http://schemas.microsoft.com/office/drawing/2014/chart" uri="{C3380CC4-5D6E-409C-BE32-E72D297353CC}">
                <c16:uniqueId val="{0000000B-0B91-4AC6-B8AE-85AC358DA1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NL"/>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Charts!$E$10:$J$10</c:f>
              <c:strCache>
                <c:ptCount val="6"/>
                <c:pt idx="0">
                  <c:v>Series 1</c:v>
                </c:pt>
                <c:pt idx="1">
                  <c:v>Series 2</c:v>
                </c:pt>
                <c:pt idx="2">
                  <c:v>Series 3</c:v>
                </c:pt>
                <c:pt idx="3">
                  <c:v>Series 4</c:v>
                </c:pt>
                <c:pt idx="4">
                  <c:v>Series 5</c:v>
                </c:pt>
                <c:pt idx="5">
                  <c:v>Series 6</c:v>
                </c:pt>
              </c:strCache>
            </c:strRef>
          </c:cat>
          <c:val>
            <c:numRef>
              <c:f>Charts!$E$11:$J$11</c:f>
              <c:numCache>
                <c:formatCode>General</c:formatCode>
                <c:ptCount val="6"/>
                <c:pt idx="0">
                  <c:v>4</c:v>
                </c:pt>
                <c:pt idx="1">
                  <c:v>6</c:v>
                </c:pt>
                <c:pt idx="2">
                  <c:v>3</c:v>
                </c:pt>
                <c:pt idx="3">
                  <c:v>7</c:v>
                </c:pt>
                <c:pt idx="4">
                  <c:v>8</c:v>
                </c:pt>
                <c:pt idx="5">
                  <c:v>9</c:v>
                </c:pt>
              </c:numCache>
            </c:numRef>
          </c:val>
          <c:extLst>
            <c:ext xmlns:c16="http://schemas.microsoft.com/office/drawing/2014/chart" uri="{C3380CC4-5D6E-409C-BE32-E72D297353CC}">
              <c16:uniqueId val="{0000000C-0B91-4AC6-B8AE-85AC358DA1D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lineChart>
        <c:grouping val="standard"/>
        <c:varyColors val="1"/>
        <c:ser>
          <c:idx val="0"/>
          <c:order val="0"/>
          <c:tx>
            <c:strRef>
              <c:f>Charts!$E$10</c:f>
              <c:strCache>
                <c:ptCount val="1"/>
                <c:pt idx="0">
                  <c:v>Series 1</c:v>
                </c:pt>
              </c:strCache>
            </c:strRef>
          </c:tx>
          <c:spPr>
            <a:ln w="28575" cap="rnd">
              <a:solidFill>
                <a:schemeClr val="accent1"/>
              </a:solidFill>
              <a:round/>
            </a:ln>
            <a:effectLst/>
          </c:spPr>
          <c:marker>
            <c:symbol val="none"/>
          </c:marker>
          <c:dPt>
            <c:idx val="0"/>
            <c:marker>
              <c:symbol val="none"/>
            </c:marker>
            <c:bubble3D val="0"/>
            <c:spPr>
              <a:ln w="28575" cap="rnd">
                <a:solidFill>
                  <a:schemeClr val="accent1"/>
                </a:solidFill>
                <a:round/>
              </a:ln>
              <a:effectLst/>
            </c:spPr>
            <c:extLst>
              <c:ext xmlns:c16="http://schemas.microsoft.com/office/drawing/2014/chart" uri="{C3380CC4-5D6E-409C-BE32-E72D297353CC}">
                <c16:uniqueId val="{00000001-7609-4460-B6CA-71B9195FC36F}"/>
              </c:ext>
            </c:extLst>
          </c:dPt>
          <c:dPt>
            <c:idx val="1"/>
            <c:marker>
              <c:symbol val="none"/>
            </c:marker>
            <c:bubble3D val="0"/>
            <c:spPr>
              <a:ln w="28575" cap="rnd">
                <a:solidFill>
                  <a:schemeClr val="accent1"/>
                </a:solidFill>
                <a:round/>
              </a:ln>
              <a:effectLst/>
            </c:spPr>
            <c:extLst>
              <c:ext xmlns:c16="http://schemas.microsoft.com/office/drawing/2014/chart" uri="{C3380CC4-5D6E-409C-BE32-E72D297353CC}">
                <c16:uniqueId val="{00000003-7609-4460-B6CA-71B9195FC36F}"/>
              </c:ext>
            </c:extLst>
          </c:dPt>
          <c:dPt>
            <c:idx val="2"/>
            <c:marker>
              <c:symbol val="none"/>
            </c:marker>
            <c:bubble3D val="0"/>
            <c:spPr>
              <a:ln w="28575" cap="rnd">
                <a:solidFill>
                  <a:schemeClr val="accent1"/>
                </a:solidFill>
                <a:round/>
              </a:ln>
              <a:effectLst/>
            </c:spPr>
            <c:extLst>
              <c:ext xmlns:c16="http://schemas.microsoft.com/office/drawing/2014/chart" uri="{C3380CC4-5D6E-409C-BE32-E72D297353CC}">
                <c16:uniqueId val="{00000005-7609-4460-B6CA-71B9195FC36F}"/>
              </c:ext>
            </c:extLst>
          </c:dPt>
          <c:dPt>
            <c:idx val="3"/>
            <c:marker>
              <c:symbol val="none"/>
            </c:marker>
            <c:bubble3D val="0"/>
            <c:spPr>
              <a:ln w="28575" cap="rnd">
                <a:solidFill>
                  <a:schemeClr val="accent1"/>
                </a:solidFill>
                <a:round/>
              </a:ln>
              <a:effectLst/>
            </c:spPr>
            <c:extLst>
              <c:ext xmlns:c16="http://schemas.microsoft.com/office/drawing/2014/chart" uri="{C3380CC4-5D6E-409C-BE32-E72D297353CC}">
                <c16:uniqueId val="{00000007-7609-4460-B6CA-71B9195FC36F}"/>
              </c:ext>
            </c:extLst>
          </c:dPt>
          <c:dPt>
            <c:idx val="4"/>
            <c:marker>
              <c:symbol val="none"/>
            </c:marker>
            <c:bubble3D val="0"/>
            <c:spPr>
              <a:ln w="28575" cap="rnd">
                <a:solidFill>
                  <a:schemeClr val="accent1"/>
                </a:solidFill>
                <a:round/>
              </a:ln>
              <a:effectLst/>
            </c:spPr>
            <c:extLst>
              <c:ext xmlns:c16="http://schemas.microsoft.com/office/drawing/2014/chart" uri="{C3380CC4-5D6E-409C-BE32-E72D297353CC}">
                <c16:uniqueId val="{00000009-7609-4460-B6CA-71B9195FC36F}"/>
              </c:ext>
            </c:extLst>
          </c:dPt>
          <c:dPt>
            <c:idx val="5"/>
            <c:marker>
              <c:symbol val="none"/>
            </c:marker>
            <c:bubble3D val="0"/>
            <c:spPr>
              <a:ln w="28575" cap="rnd">
                <a:solidFill>
                  <a:schemeClr val="accent1"/>
                </a:solidFill>
                <a:round/>
              </a:ln>
              <a:effectLst/>
            </c:spPr>
            <c:extLst>
              <c:ext xmlns:c16="http://schemas.microsoft.com/office/drawing/2014/chart" uri="{C3380CC4-5D6E-409C-BE32-E72D297353CC}">
                <c16:uniqueId val="{0000000B-7609-4460-B6CA-71B9195FC36F}"/>
              </c:ext>
            </c:extLst>
          </c:dPt>
          <c:cat>
            <c:numRef>
              <c:f>Charts!$D$11:$D$13</c:f>
              <c:numCache>
                <c:formatCode>General</c:formatCode>
                <c:ptCount val="3"/>
                <c:pt idx="0">
                  <c:v>2006</c:v>
                </c:pt>
                <c:pt idx="1">
                  <c:v>2007</c:v>
                </c:pt>
                <c:pt idx="2">
                  <c:v>2008</c:v>
                </c:pt>
              </c:numCache>
            </c:numRef>
          </c:cat>
          <c:val>
            <c:numRef>
              <c:f>Charts!$E$11:$E$13</c:f>
              <c:numCache>
                <c:formatCode>General</c:formatCode>
                <c:ptCount val="3"/>
                <c:pt idx="0">
                  <c:v>4</c:v>
                </c:pt>
                <c:pt idx="1">
                  <c:v>5</c:v>
                </c:pt>
                <c:pt idx="2">
                  <c:v>6</c:v>
                </c:pt>
              </c:numCache>
            </c:numRef>
          </c:val>
          <c:smooth val="0"/>
          <c:extLst>
            <c:ext xmlns:c16="http://schemas.microsoft.com/office/drawing/2014/chart" uri="{C3380CC4-5D6E-409C-BE32-E72D297353CC}">
              <c16:uniqueId val="{0000000C-7609-4460-B6CA-71B9195FC36F}"/>
            </c:ext>
          </c:extLst>
        </c:ser>
        <c:ser>
          <c:idx val="1"/>
          <c:order val="1"/>
          <c:tx>
            <c:strRef>
              <c:f>Charts!$F$10</c:f>
              <c:strCache>
                <c:ptCount val="1"/>
                <c:pt idx="0">
                  <c:v>Series 2</c:v>
                </c:pt>
              </c:strCache>
            </c:strRef>
          </c:tx>
          <c:spPr>
            <a:ln w="28575" cap="rnd">
              <a:solidFill>
                <a:schemeClr val="accent2"/>
              </a:solidFill>
              <a:round/>
            </a:ln>
            <a:effectLst/>
          </c:spPr>
          <c:marker>
            <c:symbol val="none"/>
          </c:marker>
          <c:cat>
            <c:numRef>
              <c:f>Charts!$D$11:$D$13</c:f>
              <c:numCache>
                <c:formatCode>General</c:formatCode>
                <c:ptCount val="3"/>
                <c:pt idx="0">
                  <c:v>2006</c:v>
                </c:pt>
                <c:pt idx="1">
                  <c:v>2007</c:v>
                </c:pt>
                <c:pt idx="2">
                  <c:v>2008</c:v>
                </c:pt>
              </c:numCache>
            </c:numRef>
          </c:cat>
          <c:val>
            <c:numRef>
              <c:f>Charts!$F$11:$F$13</c:f>
              <c:numCache>
                <c:formatCode>General</c:formatCode>
                <c:ptCount val="3"/>
                <c:pt idx="0">
                  <c:v>6</c:v>
                </c:pt>
                <c:pt idx="1">
                  <c:v>23</c:v>
                </c:pt>
                <c:pt idx="2">
                  <c:v>4</c:v>
                </c:pt>
              </c:numCache>
            </c:numRef>
          </c:val>
          <c:smooth val="0"/>
          <c:extLst>
            <c:ext xmlns:c16="http://schemas.microsoft.com/office/drawing/2014/chart" uri="{C3380CC4-5D6E-409C-BE32-E72D297353CC}">
              <c16:uniqueId val="{0000000D-7609-4460-B6CA-71B9195FC36F}"/>
            </c:ext>
          </c:extLst>
        </c:ser>
        <c:ser>
          <c:idx val="2"/>
          <c:order val="2"/>
          <c:tx>
            <c:strRef>
              <c:f>Charts!$G$10</c:f>
              <c:strCache>
                <c:ptCount val="1"/>
                <c:pt idx="0">
                  <c:v>Series 3</c:v>
                </c:pt>
              </c:strCache>
            </c:strRef>
          </c:tx>
          <c:spPr>
            <a:ln w="28575" cap="rnd">
              <a:solidFill>
                <a:schemeClr val="accent3"/>
              </a:solidFill>
              <a:round/>
            </a:ln>
            <a:effectLst/>
          </c:spPr>
          <c:marker>
            <c:symbol val="none"/>
          </c:marker>
          <c:cat>
            <c:numRef>
              <c:f>Charts!$D$11:$D$13</c:f>
              <c:numCache>
                <c:formatCode>General</c:formatCode>
                <c:ptCount val="3"/>
                <c:pt idx="0">
                  <c:v>2006</c:v>
                </c:pt>
                <c:pt idx="1">
                  <c:v>2007</c:v>
                </c:pt>
                <c:pt idx="2">
                  <c:v>2008</c:v>
                </c:pt>
              </c:numCache>
            </c:numRef>
          </c:cat>
          <c:val>
            <c:numRef>
              <c:f>Charts!$G$11:$G$13</c:f>
              <c:numCache>
                <c:formatCode>General</c:formatCode>
                <c:ptCount val="3"/>
                <c:pt idx="0">
                  <c:v>3</c:v>
                </c:pt>
                <c:pt idx="1">
                  <c:v>7</c:v>
                </c:pt>
                <c:pt idx="2">
                  <c:v>6</c:v>
                </c:pt>
              </c:numCache>
            </c:numRef>
          </c:val>
          <c:smooth val="0"/>
          <c:extLst>
            <c:ext xmlns:c16="http://schemas.microsoft.com/office/drawing/2014/chart" uri="{C3380CC4-5D6E-409C-BE32-E72D297353CC}">
              <c16:uniqueId val="{0000000E-7609-4460-B6CA-71B9195FC36F}"/>
            </c:ext>
          </c:extLst>
        </c:ser>
        <c:ser>
          <c:idx val="3"/>
          <c:order val="3"/>
          <c:tx>
            <c:strRef>
              <c:f>Charts!$H$10</c:f>
              <c:strCache>
                <c:ptCount val="1"/>
                <c:pt idx="0">
                  <c:v>Series 4</c:v>
                </c:pt>
              </c:strCache>
            </c:strRef>
          </c:tx>
          <c:spPr>
            <a:ln w="28575" cap="rnd">
              <a:solidFill>
                <a:schemeClr val="accent4"/>
              </a:solidFill>
              <a:round/>
            </a:ln>
            <a:effectLst/>
          </c:spPr>
          <c:marker>
            <c:symbol val="none"/>
          </c:marker>
          <c:cat>
            <c:numRef>
              <c:f>Charts!$D$11:$D$13</c:f>
              <c:numCache>
                <c:formatCode>General</c:formatCode>
                <c:ptCount val="3"/>
                <c:pt idx="0">
                  <c:v>2006</c:v>
                </c:pt>
                <c:pt idx="1">
                  <c:v>2007</c:v>
                </c:pt>
                <c:pt idx="2">
                  <c:v>2008</c:v>
                </c:pt>
              </c:numCache>
            </c:numRef>
          </c:cat>
          <c:val>
            <c:numRef>
              <c:f>Charts!$H$11:$H$13</c:f>
              <c:numCache>
                <c:formatCode>General</c:formatCode>
                <c:ptCount val="3"/>
                <c:pt idx="0">
                  <c:v>7</c:v>
                </c:pt>
                <c:pt idx="1">
                  <c:v>23</c:v>
                </c:pt>
                <c:pt idx="2">
                  <c:v>4</c:v>
                </c:pt>
              </c:numCache>
            </c:numRef>
          </c:val>
          <c:smooth val="0"/>
          <c:extLst>
            <c:ext xmlns:c16="http://schemas.microsoft.com/office/drawing/2014/chart" uri="{C3380CC4-5D6E-409C-BE32-E72D297353CC}">
              <c16:uniqueId val="{0000000F-7609-4460-B6CA-71B9195FC36F}"/>
            </c:ext>
          </c:extLst>
        </c:ser>
        <c:ser>
          <c:idx val="4"/>
          <c:order val="4"/>
          <c:tx>
            <c:strRef>
              <c:f>Charts!$I$10</c:f>
              <c:strCache>
                <c:ptCount val="1"/>
                <c:pt idx="0">
                  <c:v>Series 5</c:v>
                </c:pt>
              </c:strCache>
            </c:strRef>
          </c:tx>
          <c:spPr>
            <a:ln w="28575" cap="rnd">
              <a:solidFill>
                <a:schemeClr val="accent5"/>
              </a:solidFill>
              <a:round/>
            </a:ln>
            <a:effectLst/>
          </c:spPr>
          <c:marker>
            <c:symbol val="none"/>
          </c:marker>
          <c:cat>
            <c:numRef>
              <c:f>Charts!$D$11:$D$13</c:f>
              <c:numCache>
                <c:formatCode>General</c:formatCode>
                <c:ptCount val="3"/>
                <c:pt idx="0">
                  <c:v>2006</c:v>
                </c:pt>
                <c:pt idx="1">
                  <c:v>2007</c:v>
                </c:pt>
                <c:pt idx="2">
                  <c:v>2008</c:v>
                </c:pt>
              </c:numCache>
            </c:numRef>
          </c:cat>
          <c:val>
            <c:numRef>
              <c:f>Charts!$I$11:$I$13</c:f>
              <c:numCache>
                <c:formatCode>General</c:formatCode>
                <c:ptCount val="3"/>
                <c:pt idx="0">
                  <c:v>8</c:v>
                </c:pt>
                <c:pt idx="1">
                  <c:v>5</c:v>
                </c:pt>
                <c:pt idx="2">
                  <c:v>8</c:v>
                </c:pt>
              </c:numCache>
            </c:numRef>
          </c:val>
          <c:smooth val="0"/>
          <c:extLst>
            <c:ext xmlns:c16="http://schemas.microsoft.com/office/drawing/2014/chart" uri="{C3380CC4-5D6E-409C-BE32-E72D297353CC}">
              <c16:uniqueId val="{00000010-7609-4460-B6CA-71B9195FC36F}"/>
            </c:ext>
          </c:extLst>
        </c:ser>
        <c:ser>
          <c:idx val="5"/>
          <c:order val="5"/>
          <c:tx>
            <c:strRef>
              <c:f>Charts!$J$10</c:f>
              <c:strCache>
                <c:ptCount val="1"/>
                <c:pt idx="0">
                  <c:v>Series 6</c:v>
                </c:pt>
              </c:strCache>
            </c:strRef>
          </c:tx>
          <c:spPr>
            <a:ln w="28575" cap="rnd">
              <a:solidFill>
                <a:schemeClr val="accent6"/>
              </a:solidFill>
              <a:round/>
            </a:ln>
            <a:effectLst/>
          </c:spPr>
          <c:marker>
            <c:symbol val="none"/>
          </c:marker>
          <c:cat>
            <c:numRef>
              <c:f>Charts!$D$11:$D$13</c:f>
              <c:numCache>
                <c:formatCode>General</c:formatCode>
                <c:ptCount val="3"/>
                <c:pt idx="0">
                  <c:v>2006</c:v>
                </c:pt>
                <c:pt idx="1">
                  <c:v>2007</c:v>
                </c:pt>
                <c:pt idx="2">
                  <c:v>2008</c:v>
                </c:pt>
              </c:numCache>
            </c:numRef>
          </c:cat>
          <c:val>
            <c:numRef>
              <c:f>Charts!$J$11:$J$13</c:f>
              <c:numCache>
                <c:formatCode>General</c:formatCode>
                <c:ptCount val="3"/>
                <c:pt idx="0">
                  <c:v>9</c:v>
                </c:pt>
                <c:pt idx="1">
                  <c:v>9</c:v>
                </c:pt>
                <c:pt idx="2">
                  <c:v>3</c:v>
                </c:pt>
              </c:numCache>
            </c:numRef>
          </c:val>
          <c:smooth val="0"/>
          <c:extLst>
            <c:ext xmlns:c16="http://schemas.microsoft.com/office/drawing/2014/chart" uri="{C3380CC4-5D6E-409C-BE32-E72D297353CC}">
              <c16:uniqueId val="{00000011-7609-4460-B6CA-71B9195FC36F}"/>
            </c:ext>
          </c:extLst>
        </c:ser>
        <c:dLbls>
          <c:showLegendKey val="0"/>
          <c:showVal val="0"/>
          <c:showCatName val="0"/>
          <c:showSerName val="0"/>
          <c:showPercent val="0"/>
          <c:showBubbleSize val="0"/>
        </c:dLbls>
        <c:smooth val="0"/>
        <c:axId val="364691008"/>
        <c:axId val="364688056"/>
      </c:lineChart>
      <c:catAx>
        <c:axId val="36469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364688056"/>
        <c:crosses val="autoZero"/>
        <c:auto val="1"/>
        <c:lblAlgn val="ctr"/>
        <c:lblOffset val="100"/>
        <c:noMultiLvlLbl val="0"/>
      </c:catAx>
      <c:valAx>
        <c:axId val="364688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Unit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3646910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7</xdr:row>
      <xdr:rowOff>107950</xdr:rowOff>
    </xdr:from>
    <xdr:to>
      <xdr:col>17</xdr:col>
      <xdr:colOff>159107</xdr:colOff>
      <xdr:row>23</xdr:row>
      <xdr:rowOff>82709</xdr:rowOff>
    </xdr:to>
    <xdr:pic>
      <xdr:nvPicPr>
        <xdr:cNvPr id="2" name="Picture 1">
          <a:extLst>
            <a:ext uri="{FF2B5EF4-FFF2-40B4-BE49-F238E27FC236}">
              <a16:creationId xmlns:a16="http://schemas.microsoft.com/office/drawing/2014/main" id="{752699F6-ABCE-A245-0E0B-5151A77AC8A1}"/>
            </a:ext>
          </a:extLst>
        </xdr:cNvPr>
        <xdr:cNvPicPr>
          <a:picLocks noChangeAspect="1"/>
        </xdr:cNvPicPr>
      </xdr:nvPicPr>
      <xdr:blipFill rotWithShape="1">
        <a:blip xmlns:r="http://schemas.openxmlformats.org/officeDocument/2006/relationships" r:embed="rId1"/>
        <a:srcRect t="21809"/>
        <a:stretch/>
      </xdr:blipFill>
      <xdr:spPr>
        <a:xfrm>
          <a:off x="990600" y="1270000"/>
          <a:ext cx="6940907" cy="2413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327705</xdr:colOff>
      <xdr:row>92</xdr:row>
      <xdr:rowOff>20638</xdr:rowOff>
    </xdr:from>
    <xdr:to>
      <xdr:col>10</xdr:col>
      <xdr:colOff>577396</xdr:colOff>
      <xdr:row>111</xdr:row>
      <xdr:rowOff>106589</xdr:rowOff>
    </xdr:to>
    <xdr:graphicFrame macro="">
      <xdr:nvGraphicFramePr>
        <xdr:cNvPr id="3" name="Chart 2">
          <a:extLst>
            <a:ext uri="{FF2B5EF4-FFF2-40B4-BE49-F238E27FC236}">
              <a16:creationId xmlns:a16="http://schemas.microsoft.com/office/drawing/2014/main" id="{CF937CEB-ADD1-1D06-A4BA-E3A1DBA09D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181883</xdr:colOff>
      <xdr:row>91</xdr:row>
      <xdr:rowOff>87312</xdr:rowOff>
    </xdr:from>
    <xdr:to>
      <xdr:col>22</xdr:col>
      <xdr:colOff>417967</xdr:colOff>
      <xdr:row>111</xdr:row>
      <xdr:rowOff>28574</xdr:rowOff>
    </xdr:to>
    <xdr:graphicFrame macro="">
      <xdr:nvGraphicFramePr>
        <xdr:cNvPr id="4" name="Chart 3">
          <a:extLst>
            <a:ext uri="{FF2B5EF4-FFF2-40B4-BE49-F238E27FC236}">
              <a16:creationId xmlns:a16="http://schemas.microsoft.com/office/drawing/2014/main" id="{8CD502B5-F8F9-67DA-916B-86A61121A0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47</xdr:col>
      <xdr:colOff>425450</xdr:colOff>
      <xdr:row>40</xdr:row>
      <xdr:rowOff>123825</xdr:rowOff>
    </xdr:from>
    <xdr:to>
      <xdr:col>55</xdr:col>
      <xdr:colOff>120650</xdr:colOff>
      <xdr:row>47</xdr:row>
      <xdr:rowOff>0</xdr:rowOff>
    </xdr:to>
    <xdr:graphicFrame macro="">
      <xdr:nvGraphicFramePr>
        <xdr:cNvPr id="4" name="Chart 2">
          <a:extLst>
            <a:ext uri="{FF2B5EF4-FFF2-40B4-BE49-F238E27FC236}">
              <a16:creationId xmlns:a16="http://schemas.microsoft.com/office/drawing/2014/main" id="{53F51B54-DA10-42D6-B577-0C9A1FF51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190500</xdr:colOff>
      <xdr:row>16</xdr:row>
      <xdr:rowOff>6350</xdr:rowOff>
    </xdr:from>
    <xdr:to>
      <xdr:col>13</xdr:col>
      <xdr:colOff>269874</xdr:colOff>
      <xdr:row>21</xdr:row>
      <xdr:rowOff>9525</xdr:rowOff>
    </xdr:to>
    <xdr:sp macro="" textlink="">
      <xdr:nvSpPr>
        <xdr:cNvPr id="3" name="Rectangle 1">
          <a:extLst>
            <a:ext uri="{FF2B5EF4-FFF2-40B4-BE49-F238E27FC236}">
              <a16:creationId xmlns:a16="http://schemas.microsoft.com/office/drawing/2014/main" id="{8B715240-9EE8-4FCF-A96A-115925585117}"/>
            </a:ext>
          </a:extLst>
        </xdr:cNvPr>
        <xdr:cNvSpPr/>
      </xdr:nvSpPr>
      <xdr:spPr>
        <a:xfrm>
          <a:off x="8086725" y="2882900"/>
          <a:ext cx="3936999" cy="765175"/>
        </a:xfrm>
        <a:prstGeom prst="rect">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1100"/>
            <a:t>This</a:t>
          </a:r>
          <a:r>
            <a:rPr lang="fr-BE" sz="1100" baseline="0"/>
            <a:t> is total gas consumption in REN-hydrogen scenario. </a:t>
          </a:r>
        </a:p>
        <a:p>
          <a:pPr algn="l"/>
          <a:endParaRPr lang="fr-BE" sz="1100"/>
        </a:p>
        <a:p>
          <a:pPr algn="l"/>
          <a:r>
            <a:rPr lang="fr-BE" sz="1100"/>
            <a:t>--&gt; Need</a:t>
          </a:r>
          <a:r>
            <a:rPr lang="fr-BE" sz="1100" baseline="0"/>
            <a:t> to get from SEI exact H2 consumption in REN-hydrogen scenario</a:t>
          </a:r>
        </a:p>
      </xdr:txBody>
    </xdr:sp>
    <xdr:clientData/>
  </xdr:twoCellAnchor>
  <xdr:twoCellAnchor>
    <xdr:from>
      <xdr:col>16</xdr:col>
      <xdr:colOff>219075</xdr:colOff>
      <xdr:row>94</xdr:row>
      <xdr:rowOff>0</xdr:rowOff>
    </xdr:from>
    <xdr:to>
      <xdr:col>21</xdr:col>
      <xdr:colOff>298449</xdr:colOff>
      <xdr:row>99</xdr:row>
      <xdr:rowOff>123825</xdr:rowOff>
    </xdr:to>
    <xdr:sp macro="" textlink="">
      <xdr:nvSpPr>
        <xdr:cNvPr id="4" name="Rectangle 1">
          <a:extLst>
            <a:ext uri="{FF2B5EF4-FFF2-40B4-BE49-F238E27FC236}">
              <a16:creationId xmlns:a16="http://schemas.microsoft.com/office/drawing/2014/main" id="{C71AF24B-466D-47D4-9848-621F1D301DDD}"/>
            </a:ext>
          </a:extLst>
        </xdr:cNvPr>
        <xdr:cNvSpPr/>
      </xdr:nvSpPr>
      <xdr:spPr>
        <a:xfrm>
          <a:off x="14125575" y="14878050"/>
          <a:ext cx="3936999" cy="1038225"/>
        </a:xfrm>
        <a:prstGeom prst="rect">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1100"/>
            <a:t>Here I took</a:t>
          </a:r>
          <a:r>
            <a:rPr lang="fr-BE" sz="1100" baseline="0"/>
            <a:t> the average network tariffs:</a:t>
          </a:r>
        </a:p>
        <a:p>
          <a:pPr algn="l"/>
          <a:r>
            <a:rPr lang="fr-BE" sz="1100" baseline="0"/>
            <a:t>- For 2030 : average 2021-2030</a:t>
          </a:r>
        </a:p>
        <a:p>
          <a:pPr algn="l"/>
          <a:r>
            <a:rPr lang="fr-BE" sz="1100" baseline="0"/>
            <a:t>- For 2040 : average 2031-2040</a:t>
          </a:r>
        </a:p>
        <a:p>
          <a:pPr algn="l"/>
          <a:r>
            <a:rPr lang="fr-BE" sz="1100" baseline="0"/>
            <a:t>- For 2050 : average 2041-2050</a:t>
          </a:r>
          <a:endParaRPr lang="en-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314325</xdr:colOff>
      <xdr:row>0</xdr:row>
      <xdr:rowOff>0</xdr:rowOff>
    </xdr:from>
    <xdr:to>
      <xdr:col>11</xdr:col>
      <xdr:colOff>184149</xdr:colOff>
      <xdr:row>7</xdr:row>
      <xdr:rowOff>101599</xdr:rowOff>
    </xdr:to>
    <xdr:sp macro="" textlink="">
      <xdr:nvSpPr>
        <xdr:cNvPr id="5" name="Rectangle 1">
          <a:extLst>
            <a:ext uri="{FF2B5EF4-FFF2-40B4-BE49-F238E27FC236}">
              <a16:creationId xmlns:a16="http://schemas.microsoft.com/office/drawing/2014/main" id="{0169D71B-717E-C435-B24C-CFCB46CB26E9}"/>
            </a:ext>
          </a:extLst>
        </xdr:cNvPr>
        <xdr:cNvSpPr/>
      </xdr:nvSpPr>
      <xdr:spPr>
        <a:xfrm>
          <a:off x="7591425" y="0"/>
          <a:ext cx="3641724" cy="1425574"/>
        </a:xfrm>
        <a:prstGeom prst="rect">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1100"/>
            <a:t>To discuss:</a:t>
          </a:r>
        </a:p>
        <a:p>
          <a:pPr algn="l"/>
          <a:r>
            <a:rPr lang="fr-BE" sz="1100"/>
            <a:t>-</a:t>
          </a:r>
          <a:r>
            <a:rPr lang="fr-BE" sz="1100" baseline="0"/>
            <a:t> No data on H2 and biomethane consumption on Eurostat</a:t>
          </a:r>
          <a:endParaRPr lang="en-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314325</xdr:colOff>
      <xdr:row>0</xdr:row>
      <xdr:rowOff>142876</xdr:rowOff>
    </xdr:from>
    <xdr:to>
      <xdr:col>15</xdr:col>
      <xdr:colOff>180974</xdr:colOff>
      <xdr:row>8</xdr:row>
      <xdr:rowOff>76200</xdr:rowOff>
    </xdr:to>
    <xdr:sp macro="" textlink="">
      <xdr:nvSpPr>
        <xdr:cNvPr id="2" name="Rectangle 1">
          <a:extLst>
            <a:ext uri="{FF2B5EF4-FFF2-40B4-BE49-F238E27FC236}">
              <a16:creationId xmlns:a16="http://schemas.microsoft.com/office/drawing/2014/main" id="{F56EC721-8323-4E93-84CB-B5F304053547}"/>
            </a:ext>
          </a:extLst>
        </xdr:cNvPr>
        <xdr:cNvSpPr/>
      </xdr:nvSpPr>
      <xdr:spPr>
        <a:xfrm>
          <a:off x="10096500" y="142876"/>
          <a:ext cx="3219449" cy="1247774"/>
        </a:xfrm>
        <a:prstGeom prst="rect">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1100"/>
            <a:t>To discuss:</a:t>
          </a:r>
        </a:p>
        <a:p>
          <a:pPr algn="l"/>
          <a:r>
            <a:rPr lang="fr-BE" sz="1100"/>
            <a:t>-</a:t>
          </a:r>
          <a:r>
            <a:rPr lang="fr-BE" sz="1100" baseline="0"/>
            <a:t> No data on H2 and biomethane consumption on Eurostat</a:t>
          </a:r>
          <a:endParaRPr lang="en-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809624</xdr:colOff>
      <xdr:row>15</xdr:row>
      <xdr:rowOff>9527</xdr:rowOff>
    </xdr:from>
    <xdr:to>
      <xdr:col>11</xdr:col>
      <xdr:colOff>428624</xdr:colOff>
      <xdr:row>33</xdr:row>
      <xdr:rowOff>115035</xdr:rowOff>
    </xdr:to>
    <xdr:graphicFrame macro="">
      <xdr:nvGraphicFramePr>
        <xdr:cNvPr id="2" name="Chart 1">
          <a:extLst>
            <a:ext uri="{FF2B5EF4-FFF2-40B4-BE49-F238E27FC236}">
              <a16:creationId xmlns:a16="http://schemas.microsoft.com/office/drawing/2014/main" id="{3DF4DB9D-42BD-475C-B380-C900F3DC5F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849923</xdr:colOff>
      <xdr:row>34</xdr:row>
      <xdr:rowOff>139211</xdr:rowOff>
    </xdr:from>
    <xdr:to>
      <xdr:col>11</xdr:col>
      <xdr:colOff>468923</xdr:colOff>
      <xdr:row>53</xdr:row>
      <xdr:rowOff>98180</xdr:rowOff>
    </xdr:to>
    <xdr:graphicFrame macro="">
      <xdr:nvGraphicFramePr>
        <xdr:cNvPr id="3" name="Chart 2">
          <a:extLst>
            <a:ext uri="{FF2B5EF4-FFF2-40B4-BE49-F238E27FC236}">
              <a16:creationId xmlns:a16="http://schemas.microsoft.com/office/drawing/2014/main" id="{B2E0D8A8-FA7C-4849-BEEB-376194310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256442</xdr:colOff>
      <xdr:row>15</xdr:row>
      <xdr:rowOff>0</xdr:rowOff>
    </xdr:from>
    <xdr:to>
      <xdr:col>20</xdr:col>
      <xdr:colOff>534866</xdr:colOff>
      <xdr:row>33</xdr:row>
      <xdr:rowOff>105508</xdr:rowOff>
    </xdr:to>
    <xdr:graphicFrame macro="">
      <xdr:nvGraphicFramePr>
        <xdr:cNvPr id="4" name="Chart 3">
          <a:extLst>
            <a:ext uri="{FF2B5EF4-FFF2-40B4-BE49-F238E27FC236}">
              <a16:creationId xmlns:a16="http://schemas.microsoft.com/office/drawing/2014/main" id="{9DB63228-0D23-41CC-BC05-03306ED5D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168519</xdr:colOff>
      <xdr:row>56</xdr:row>
      <xdr:rowOff>58614</xdr:rowOff>
    </xdr:from>
    <xdr:to>
      <xdr:col>21</xdr:col>
      <xdr:colOff>381000</xdr:colOff>
      <xdr:row>75</xdr:row>
      <xdr:rowOff>17584</xdr:rowOff>
    </xdr:to>
    <xdr:graphicFrame macro="">
      <xdr:nvGraphicFramePr>
        <xdr:cNvPr id="5" name="Chart 4">
          <a:extLst>
            <a:ext uri="{FF2B5EF4-FFF2-40B4-BE49-F238E27FC236}">
              <a16:creationId xmlns:a16="http://schemas.microsoft.com/office/drawing/2014/main" id="{F8EC37A5-D076-45A9-9667-37B828D08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37</xdr:row>
      <xdr:rowOff>0</xdr:rowOff>
    </xdr:from>
    <xdr:to>
      <xdr:col>21</xdr:col>
      <xdr:colOff>212481</xdr:colOff>
      <xdr:row>55</xdr:row>
      <xdr:rowOff>105508</xdr:rowOff>
    </xdr:to>
    <xdr:graphicFrame macro="">
      <xdr:nvGraphicFramePr>
        <xdr:cNvPr id="6" name="Chart 5">
          <a:extLst>
            <a:ext uri="{FF2B5EF4-FFF2-40B4-BE49-F238E27FC236}">
              <a16:creationId xmlns:a16="http://schemas.microsoft.com/office/drawing/2014/main" id="{252CC388-2FD4-469E-AF1B-6A7AF3AB3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769327</xdr:colOff>
      <xdr:row>57</xdr:row>
      <xdr:rowOff>0</xdr:rowOff>
    </xdr:from>
    <xdr:to>
      <xdr:col>11</xdr:col>
      <xdr:colOff>388327</xdr:colOff>
      <xdr:row>75</xdr:row>
      <xdr:rowOff>105508</xdr:rowOff>
    </xdr:to>
    <xdr:graphicFrame macro="">
      <xdr:nvGraphicFramePr>
        <xdr:cNvPr id="8" name="Chart 7">
          <a:extLst>
            <a:ext uri="{FF2B5EF4-FFF2-40B4-BE49-F238E27FC236}">
              <a16:creationId xmlns:a16="http://schemas.microsoft.com/office/drawing/2014/main" id="{8D9678DD-FC9A-48CA-A4CD-3EE62B9D4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oão Gorenstein Dedecca" id="{5BD9C89F-F39A-41C9-893F-7C18EC30CD3F}" userId="S::joao.dedecca@trinomics.eu::155b3c4f-ab2e-483d-aeaa-043e47c4c0e5" providerId="AD"/>
</personList>
</file>

<file path=xl/theme/theme1.xml><?xml version="1.0" encoding="utf-8"?>
<a:theme xmlns:a="http://schemas.openxmlformats.org/drawingml/2006/main" name="Office Theme">
  <a:themeElements>
    <a:clrScheme name="Trinomics">
      <a:dk1>
        <a:srgbClr val="000000"/>
      </a:dk1>
      <a:lt1>
        <a:srgbClr val="FFFFFF"/>
      </a:lt1>
      <a:dk2>
        <a:srgbClr val="000000"/>
      </a:dk2>
      <a:lt2>
        <a:srgbClr val="FFFFFF"/>
      </a:lt2>
      <a:accent1>
        <a:srgbClr val="002C54"/>
      </a:accent1>
      <a:accent2>
        <a:srgbClr val="005962"/>
      </a:accent2>
      <a:accent3>
        <a:srgbClr val="F04E30"/>
      </a:accent3>
      <a:accent4>
        <a:srgbClr val="B2CECD"/>
      </a:accent4>
      <a:accent5>
        <a:srgbClr val="FFE3A6"/>
      </a:accent5>
      <a:accent6>
        <a:srgbClr val="000000"/>
      </a:accent6>
      <a:hlink>
        <a:srgbClr val="0039A6"/>
      </a:hlink>
      <a:folHlink>
        <a:srgbClr val="6688CA"/>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a:solidFill>
            <a:schemeClr val="bg2"/>
          </a:solidFill>
        </a:ln>
      </a:spPr>
      <a:bodyPr vertOverflow="clip" horzOverflow="clip" wrap="none" rtlCol="0" anchor="t">
        <a:spAutoFit/>
      </a:bodyPr>
      <a:lstStyle>
        <a:defPPr>
          <a:defRPr sz="800">
            <a:solidFill>
              <a:schemeClr val="tx1"/>
            </a:solidFill>
          </a:defRPr>
        </a:defPPr>
      </a:lstStyle>
      <a:style>
        <a:lnRef idx="0">
          <a:scrgbClr r="0" g="0" b="0"/>
        </a:lnRef>
        <a:fillRef idx="0">
          <a:scrgbClr r="0" g="0" b="0"/>
        </a:fillRef>
        <a:effectRef idx="0">
          <a:scrgbClr r="0" g="0" b="0"/>
        </a:effectRef>
        <a:fontRef idx="minor">
          <a:schemeClr val="tx1"/>
        </a:fontRef>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6" dT="2023-02-27T16:47:06.82" personId="{5BD9C89F-F39A-41C9-893F-7C18EC30CD3F}" id="{9C7B8937-09F5-4B98-9F29-68E4F7ABAF8E}" done="1">
    <text>As shown in fig 5-1 of the DLV3 report, only in 2050 there will be significant on-network hydrogen consumption
Hence suggest to spread out these investments linearly in the 2020-2050 period</text>
  </threadedComment>
  <threadedComment ref="D6" dT="2023-02-27T16:56:19.88" personId="{5BD9C89F-F39A-41C9-893F-7C18EC30CD3F}" id="{6FFA7F89-B2FC-45E9-8F9E-3253E101FDAA}" parentId="{9C7B8937-09F5-4B98-9F29-68E4F7ABAF8E}">
    <text>Propose to add these costs only to the H2 scenario, as the others will not require repurposing. And we would indeed just sum it with the energy and taxes components (with a disclaimer that it does not represent all network costs)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eer.eu/documents/104400/7169677/C21_NR_Estonia_EN.pdf/ce75d32e-6830-8562-48bc-5bf2a1390e21"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DC18-8EFF-4A45-9F99-DC7598340DF1}">
  <sheetPr>
    <tabColor theme="1"/>
  </sheetPr>
  <dimension ref="B2:S40"/>
  <sheetViews>
    <sheetView showGridLines="0" tabSelected="1" zoomScaleNormal="100" workbookViewId="0"/>
  </sheetViews>
  <sheetFormatPr defaultRowHeight="12" x14ac:dyDescent="0.35"/>
  <cols>
    <col min="9" max="9" width="9" customWidth="1"/>
  </cols>
  <sheetData>
    <row r="2" spans="2:19" s="99" customFormat="1" ht="16" thickBot="1" x14ac:dyDescent="0.4">
      <c r="B2" s="140" t="s">
        <v>256</v>
      </c>
      <c r="C2" s="140"/>
      <c r="D2" s="140"/>
      <c r="E2" s="140"/>
      <c r="F2" s="140"/>
      <c r="G2" s="140"/>
      <c r="H2" s="140"/>
      <c r="I2" s="140"/>
      <c r="J2" s="140"/>
      <c r="K2" s="140"/>
      <c r="L2" s="140"/>
      <c r="M2" s="140"/>
      <c r="N2" s="140"/>
      <c r="O2" s="140"/>
      <c r="P2" s="140"/>
      <c r="Q2" s="140"/>
      <c r="R2" s="140"/>
      <c r="S2" s="140"/>
    </row>
    <row r="3" spans="2:19" ht="12.5" thickTop="1" x14ac:dyDescent="0.35"/>
    <row r="4" spans="2:19" s="99" customFormat="1" ht="15" thickBot="1" x14ac:dyDescent="0.4">
      <c r="C4" s="141" t="s">
        <v>254</v>
      </c>
      <c r="D4" s="141"/>
      <c r="E4" s="141"/>
      <c r="F4" s="141"/>
      <c r="G4" s="141"/>
      <c r="H4" s="141"/>
      <c r="I4" s="141"/>
      <c r="J4" s="141"/>
      <c r="K4" s="141"/>
      <c r="L4" s="141"/>
      <c r="M4" s="141"/>
      <c r="N4" s="141"/>
      <c r="O4" s="141"/>
      <c r="P4" s="141"/>
      <c r="Q4" s="141"/>
      <c r="R4" s="141"/>
      <c r="S4" s="141"/>
    </row>
    <row r="6" spans="2:19" x14ac:dyDescent="0.35">
      <c r="C6" s="280" t="s">
        <v>338</v>
      </c>
      <c r="D6" s="280"/>
      <c r="E6" s="280"/>
      <c r="F6" s="280"/>
      <c r="G6" s="280"/>
      <c r="H6" s="280"/>
      <c r="I6" s="280"/>
      <c r="J6" s="280"/>
      <c r="K6" s="280"/>
      <c r="L6" s="280"/>
      <c r="M6" s="280"/>
      <c r="N6" s="280"/>
      <c r="O6" s="280"/>
      <c r="P6" s="280"/>
      <c r="Q6" s="280"/>
      <c r="R6" s="280"/>
      <c r="S6" s="280"/>
    </row>
    <row r="7" spans="2:19" x14ac:dyDescent="0.35">
      <c r="C7" s="280"/>
      <c r="D7" s="280"/>
      <c r="E7" s="280"/>
      <c r="F7" s="280"/>
      <c r="G7" s="280"/>
      <c r="H7" s="280"/>
      <c r="I7" s="280"/>
      <c r="J7" s="280"/>
      <c r="K7" s="280"/>
      <c r="L7" s="280"/>
      <c r="M7" s="280"/>
      <c r="N7" s="280"/>
      <c r="O7" s="280"/>
      <c r="P7" s="280"/>
      <c r="Q7" s="280"/>
      <c r="R7" s="280"/>
      <c r="S7" s="280"/>
    </row>
    <row r="8" spans="2:19" x14ac:dyDescent="0.35">
      <c r="C8" s="280"/>
      <c r="D8" s="280"/>
      <c r="E8" s="280"/>
      <c r="F8" s="280"/>
      <c r="G8" s="280"/>
      <c r="H8" s="280"/>
      <c r="I8" s="280"/>
      <c r="J8" s="280"/>
      <c r="K8" s="280"/>
      <c r="L8" s="280"/>
      <c r="M8" s="280"/>
      <c r="N8" s="280"/>
      <c r="O8" s="280"/>
      <c r="P8" s="280"/>
      <c r="Q8" s="280"/>
      <c r="R8" s="280"/>
      <c r="S8" s="280"/>
    </row>
    <row r="26" spans="3:19" s="99" customFormat="1" ht="15" thickBot="1" x14ac:dyDescent="0.4">
      <c r="C26" s="141" t="s">
        <v>255</v>
      </c>
      <c r="D26" s="141"/>
      <c r="E26" s="141"/>
      <c r="F26" s="141"/>
      <c r="G26" s="141"/>
      <c r="H26" s="141"/>
      <c r="I26" s="141"/>
      <c r="J26" s="141"/>
      <c r="K26" s="141"/>
      <c r="L26" s="141"/>
      <c r="M26" s="141"/>
      <c r="N26" s="141"/>
      <c r="O26" s="141"/>
      <c r="P26" s="141"/>
      <c r="Q26" s="141"/>
      <c r="R26" s="141"/>
      <c r="S26" s="141"/>
    </row>
    <row r="28" spans="3:19" x14ac:dyDescent="0.35">
      <c r="C28" t="s">
        <v>258</v>
      </c>
    </row>
    <row r="29" spans="3:19" x14ac:dyDescent="0.35">
      <c r="C29" s="219" t="s">
        <v>243</v>
      </c>
      <c r="D29" s="219"/>
      <c r="E29" s="282" t="s">
        <v>339</v>
      </c>
      <c r="F29" s="282"/>
      <c r="G29" s="282"/>
      <c r="H29" s="282"/>
      <c r="I29" s="282"/>
      <c r="J29" s="282"/>
      <c r="K29" s="282"/>
      <c r="L29" s="282"/>
      <c r="M29" s="282"/>
      <c r="N29" s="282"/>
      <c r="O29" s="282"/>
      <c r="P29" s="282"/>
      <c r="Q29" s="282"/>
      <c r="R29" s="282"/>
      <c r="S29" s="282"/>
    </row>
    <row r="30" spans="3:19" x14ac:dyDescent="0.35">
      <c r="C30" s="220" t="s">
        <v>138</v>
      </c>
      <c r="D30" s="220"/>
      <c r="E30" s="281" t="s">
        <v>340</v>
      </c>
      <c r="F30" s="281"/>
      <c r="G30" s="281"/>
      <c r="H30" s="281"/>
      <c r="I30" s="281"/>
      <c r="J30" s="281"/>
      <c r="K30" s="281"/>
      <c r="L30" s="281"/>
      <c r="M30" s="281"/>
      <c r="N30" s="281"/>
      <c r="O30" s="281"/>
      <c r="P30" s="281"/>
      <c r="Q30" s="281"/>
      <c r="R30" s="281"/>
      <c r="S30" s="281"/>
    </row>
    <row r="31" spans="3:19" x14ac:dyDescent="0.35">
      <c r="C31" s="221" t="s">
        <v>139</v>
      </c>
      <c r="D31" s="221"/>
      <c r="E31" s="283" t="s">
        <v>341</v>
      </c>
      <c r="F31" s="283"/>
      <c r="G31" s="283"/>
      <c r="H31" s="283"/>
      <c r="I31" s="283"/>
      <c r="J31" s="283"/>
      <c r="K31" s="283"/>
      <c r="L31" s="283"/>
      <c r="M31" s="283"/>
      <c r="N31" s="283"/>
      <c r="O31" s="283"/>
      <c r="P31" s="283"/>
      <c r="Q31" s="283"/>
      <c r="R31" s="283"/>
      <c r="S31" s="283"/>
    </row>
    <row r="32" spans="3:19" x14ac:dyDescent="0.35">
      <c r="C32" s="222" t="s">
        <v>257</v>
      </c>
      <c r="D32" s="222"/>
      <c r="E32" s="284" t="s">
        <v>343</v>
      </c>
      <c r="F32" s="284"/>
      <c r="G32" s="284"/>
      <c r="H32" s="284"/>
      <c r="I32" s="284"/>
      <c r="J32" s="284"/>
      <c r="K32" s="284"/>
      <c r="L32" s="284"/>
      <c r="M32" s="284"/>
      <c r="N32" s="284"/>
      <c r="O32" s="284"/>
      <c r="P32" s="284"/>
      <c r="Q32" s="284"/>
      <c r="R32" s="284"/>
      <c r="S32" s="284"/>
    </row>
    <row r="35" spans="3:5" x14ac:dyDescent="0.35">
      <c r="C35" t="s">
        <v>344</v>
      </c>
    </row>
    <row r="36" spans="3:5" x14ac:dyDescent="0.35">
      <c r="C36" s="213"/>
      <c r="D36" s="213"/>
      <c r="E36" t="s">
        <v>305</v>
      </c>
    </row>
    <row r="37" spans="3:5" x14ac:dyDescent="0.35">
      <c r="C37" s="214"/>
      <c r="D37" s="214"/>
      <c r="E37" t="s">
        <v>306</v>
      </c>
    </row>
    <row r="38" spans="3:5" x14ac:dyDescent="0.35">
      <c r="C38" s="215"/>
      <c r="D38" s="215"/>
      <c r="E38" t="s">
        <v>311</v>
      </c>
    </row>
    <row r="39" spans="3:5" x14ac:dyDescent="0.35">
      <c r="C39" s="218"/>
      <c r="D39" s="218"/>
      <c r="E39" t="s">
        <v>312</v>
      </c>
    </row>
    <row r="40" spans="3:5" x14ac:dyDescent="0.35">
      <c r="C40" s="216"/>
      <c r="D40" s="217"/>
      <c r="E40" t="s">
        <v>234</v>
      </c>
    </row>
  </sheetData>
  <mergeCells count="14">
    <mergeCell ref="C6:S8"/>
    <mergeCell ref="E30:S30"/>
    <mergeCell ref="E29:S29"/>
    <mergeCell ref="C29:D29"/>
    <mergeCell ref="C30:D30"/>
    <mergeCell ref="C31:D31"/>
    <mergeCell ref="C32:D32"/>
    <mergeCell ref="E31:S31"/>
    <mergeCell ref="E32:S32"/>
    <mergeCell ref="C36:D36"/>
    <mergeCell ref="C37:D37"/>
    <mergeCell ref="C38:D38"/>
    <mergeCell ref="C40:D40"/>
    <mergeCell ref="C39:D3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06A2-46E7-4850-B7D1-66CEB172F688}">
  <sheetPr>
    <tabColor theme="7"/>
  </sheetPr>
  <dimension ref="B2:AA30"/>
  <sheetViews>
    <sheetView showGridLines="0" workbookViewId="0"/>
  </sheetViews>
  <sheetFormatPr defaultRowHeight="12" x14ac:dyDescent="0.35"/>
  <cols>
    <col min="2" max="2" width="12.375" customWidth="1"/>
    <col min="3" max="3" width="28.375" customWidth="1"/>
    <col min="4" max="4" width="20" customWidth="1"/>
    <col min="5" max="10" width="11.875" customWidth="1"/>
  </cols>
  <sheetData>
    <row r="2" spans="2:27" ht="16" thickBot="1" x14ac:dyDescent="0.4">
      <c r="B2" s="2" t="s">
        <v>257</v>
      </c>
      <c r="C2" s="2"/>
      <c r="D2" s="2"/>
      <c r="E2" s="2"/>
      <c r="F2" s="2"/>
      <c r="G2" s="2"/>
      <c r="H2" s="2"/>
      <c r="I2" s="2"/>
      <c r="J2" s="2"/>
      <c r="K2" s="2"/>
      <c r="L2" s="2"/>
      <c r="M2" s="2"/>
      <c r="N2" s="2"/>
      <c r="O2" s="2"/>
      <c r="P2" s="2"/>
      <c r="Q2" s="2"/>
      <c r="R2" s="2"/>
      <c r="S2" s="2"/>
      <c r="T2" s="2"/>
    </row>
    <row r="3" spans="2:27" ht="12.5" thickTop="1" x14ac:dyDescent="0.35"/>
    <row r="4" spans="2:27" ht="15" thickBot="1" x14ac:dyDescent="0.4">
      <c r="C4" s="1" t="s">
        <v>274</v>
      </c>
      <c r="D4" s="1"/>
      <c r="E4" s="1"/>
      <c r="F4" s="1"/>
      <c r="G4" s="1"/>
      <c r="H4" s="1"/>
      <c r="I4" s="1"/>
      <c r="J4" s="1"/>
      <c r="K4" s="1"/>
      <c r="L4" s="1"/>
      <c r="M4" s="1"/>
      <c r="N4" s="1"/>
      <c r="O4" s="1"/>
      <c r="P4" s="1"/>
      <c r="Q4" s="1"/>
      <c r="R4" s="1"/>
      <c r="S4" s="1"/>
      <c r="T4" s="1"/>
      <c r="U4" s="1"/>
      <c r="V4" s="1"/>
      <c r="W4" s="1"/>
      <c r="X4" s="1"/>
      <c r="Y4" s="1"/>
      <c r="Z4" s="1"/>
      <c r="AA4" s="1"/>
    </row>
    <row r="6" spans="2:27" x14ac:dyDescent="0.35">
      <c r="C6" t="s">
        <v>275</v>
      </c>
    </row>
    <row r="8" spans="2:27" ht="24" x14ac:dyDescent="0.35">
      <c r="C8" s="96"/>
      <c r="D8" s="96">
        <v>2021</v>
      </c>
      <c r="E8" s="96">
        <v>2030</v>
      </c>
      <c r="F8" s="96">
        <v>2040</v>
      </c>
      <c r="G8" s="96">
        <v>2050</v>
      </c>
      <c r="H8" s="96" t="s">
        <v>211</v>
      </c>
      <c r="I8" s="96" t="s">
        <v>212</v>
      </c>
      <c r="J8" s="96" t="s">
        <v>213</v>
      </c>
    </row>
    <row r="9" spans="2:27" x14ac:dyDescent="0.35">
      <c r="C9" t="s">
        <v>67</v>
      </c>
      <c r="D9" s="208">
        <v>5.2779999999999996</v>
      </c>
      <c r="E9" s="208">
        <v>3.9220000000000002</v>
      </c>
      <c r="F9" s="208">
        <v>2.996</v>
      </c>
      <c r="G9" s="208">
        <v>2.7749999999999999</v>
      </c>
      <c r="H9" s="109">
        <f>(E9-D9)/D9</f>
        <v>-0.25691549829480853</v>
      </c>
      <c r="I9" s="109">
        <f>(F9-E9)/E9</f>
        <v>-0.23610402855685877</v>
      </c>
      <c r="J9" s="109">
        <f>(G9-F9)/F9</f>
        <v>-7.3765020026702294E-2</v>
      </c>
    </row>
    <row r="10" spans="2:27" x14ac:dyDescent="0.35">
      <c r="C10" t="s">
        <v>69</v>
      </c>
      <c r="D10" s="208">
        <v>24.39</v>
      </c>
      <c r="E10" s="208">
        <v>19.885000000000002</v>
      </c>
      <c r="F10" s="208">
        <v>17.398</v>
      </c>
      <c r="G10" s="208">
        <v>17.248999999999999</v>
      </c>
      <c r="H10" s="109">
        <f t="shared" ref="H10:J12" si="0">(E10-D10)/D10</f>
        <v>-0.18470684706847065</v>
      </c>
      <c r="I10" s="109">
        <f t="shared" si="0"/>
        <v>-0.12506914759869256</v>
      </c>
      <c r="J10" s="109">
        <f t="shared" si="0"/>
        <v>-8.5642027819290093E-3</v>
      </c>
    </row>
    <row r="11" spans="2:27" x14ac:dyDescent="0.35">
      <c r="C11" t="s">
        <v>68</v>
      </c>
      <c r="D11" s="208">
        <v>7.7</v>
      </c>
      <c r="E11" s="208">
        <v>8.6630000000000003</v>
      </c>
      <c r="F11" s="208">
        <v>6.1829999999999998</v>
      </c>
      <c r="G11" s="208">
        <v>4.2089999999999996</v>
      </c>
      <c r="H11" s="109">
        <f t="shared" si="0"/>
        <v>0.12506493506493507</v>
      </c>
      <c r="I11" s="109">
        <f>(F11-E11)/E11</f>
        <v>-0.28627496248412793</v>
      </c>
      <c r="J11" s="109">
        <f t="shared" si="0"/>
        <v>-0.31926249393498307</v>
      </c>
    </row>
    <row r="12" spans="2:27" x14ac:dyDescent="0.35">
      <c r="C12" t="s">
        <v>70</v>
      </c>
      <c r="D12" s="208">
        <v>26.032499999999999</v>
      </c>
      <c r="E12" s="208">
        <v>19.78</v>
      </c>
      <c r="F12" s="208">
        <v>14.06</v>
      </c>
      <c r="G12" s="208">
        <v>13.49</v>
      </c>
      <c r="H12" s="109">
        <f t="shared" si="0"/>
        <v>-0.24018054355132998</v>
      </c>
      <c r="I12" s="109">
        <f t="shared" si="0"/>
        <v>-0.2891809908998989</v>
      </c>
      <c r="J12" s="109">
        <f t="shared" si="0"/>
        <v>-4.0540540540540557E-2</v>
      </c>
    </row>
    <row r="13" spans="2:27" x14ac:dyDescent="0.35">
      <c r="C13" s="68" t="s">
        <v>310</v>
      </c>
      <c r="D13" s="209">
        <f>SUM(D9:D12)</f>
        <v>63.400500000000001</v>
      </c>
      <c r="E13" s="209">
        <f t="shared" ref="E13:G13" si="1">SUM(E9:E12)</f>
        <v>52.25</v>
      </c>
      <c r="F13" s="209">
        <f t="shared" si="1"/>
        <v>40.637</v>
      </c>
      <c r="G13" s="209">
        <f t="shared" si="1"/>
        <v>37.722999999999999</v>
      </c>
      <c r="H13" s="109">
        <f>(E13-D13)/D13</f>
        <v>-0.17587400730278155</v>
      </c>
      <c r="I13" s="109">
        <f>(F13-E13)/E13</f>
        <v>-0.22225837320574163</v>
      </c>
      <c r="J13" s="109">
        <f>(G13-F13)/F13</f>
        <v>-7.1708049314664013E-2</v>
      </c>
    </row>
    <row r="15" spans="2:27" ht="15" thickBot="1" x14ac:dyDescent="0.4">
      <c r="C15" s="1" t="s">
        <v>85</v>
      </c>
      <c r="D15" s="1"/>
      <c r="E15" s="1"/>
      <c r="F15" s="1"/>
      <c r="G15" s="1"/>
      <c r="H15" s="1"/>
      <c r="I15" s="1"/>
      <c r="J15" s="1"/>
      <c r="K15" s="1"/>
      <c r="L15" s="1"/>
      <c r="M15" s="1"/>
      <c r="N15" s="1"/>
      <c r="O15" s="1"/>
      <c r="P15" s="1"/>
      <c r="Q15" s="1"/>
      <c r="R15" s="1"/>
      <c r="S15" s="1"/>
      <c r="T15" s="1"/>
      <c r="U15" s="1"/>
      <c r="V15" s="1"/>
      <c r="W15" s="1"/>
      <c r="X15" s="1"/>
      <c r="Y15" s="1"/>
      <c r="Z15" s="1"/>
      <c r="AA15" s="1"/>
    </row>
    <row r="17" spans="3:8" x14ac:dyDescent="0.35">
      <c r="C17" t="s">
        <v>315</v>
      </c>
    </row>
    <row r="19" spans="3:8" x14ac:dyDescent="0.35">
      <c r="C19" s="9"/>
      <c r="D19" s="9"/>
      <c r="E19" s="9">
        <v>2023</v>
      </c>
      <c r="F19" s="9">
        <v>2030</v>
      </c>
      <c r="G19" s="9">
        <v>2040</v>
      </c>
      <c r="H19" s="9">
        <v>2050</v>
      </c>
    </row>
    <row r="20" spans="3:8" x14ac:dyDescent="0.35">
      <c r="C20" s="250" t="s">
        <v>313</v>
      </c>
      <c r="D20" t="s">
        <v>262</v>
      </c>
      <c r="E20" s="14">
        <v>20</v>
      </c>
      <c r="F20" s="159">
        <f>E20*(1+H13)</f>
        <v>16.482519853944368</v>
      </c>
      <c r="G20" s="159">
        <f>F20*(1+I13)</f>
        <v>12.819141804875354</v>
      </c>
      <c r="H20" s="159">
        <f>G20*(1+J13)</f>
        <v>11.899906152159682</v>
      </c>
    </row>
    <row r="21" spans="3:8" x14ac:dyDescent="0.35">
      <c r="C21" s="250"/>
      <c r="D21" t="s">
        <v>309</v>
      </c>
      <c r="E21" s="14">
        <v>500</v>
      </c>
      <c r="F21" s="159">
        <f>E21*(1+H13)</f>
        <v>412.0629963486092</v>
      </c>
      <c r="G21" s="159">
        <f>F21*(1+I13)</f>
        <v>320.47854512188388</v>
      </c>
      <c r="H21" s="159">
        <f>G21*(1+J13)</f>
        <v>297.49765380399208</v>
      </c>
    </row>
    <row r="24" spans="3:8" x14ac:dyDescent="0.35">
      <c r="C24" s="9"/>
      <c r="D24" s="9" t="s">
        <v>176</v>
      </c>
    </row>
    <row r="25" spans="3:8" x14ac:dyDescent="0.35">
      <c r="C25" t="s">
        <v>180</v>
      </c>
      <c r="D25" s="206">
        <v>1</v>
      </c>
    </row>
    <row r="26" spans="3:8" x14ac:dyDescent="0.35">
      <c r="C26" t="s">
        <v>279</v>
      </c>
      <c r="D26" s="206">
        <v>0.27777800000000002</v>
      </c>
    </row>
    <row r="28" spans="3:8" x14ac:dyDescent="0.35">
      <c r="C28" s="9"/>
      <c r="D28" s="9"/>
      <c r="E28" s="9">
        <v>2023</v>
      </c>
      <c r="F28" s="9">
        <v>2030</v>
      </c>
      <c r="G28" s="9">
        <v>2040</v>
      </c>
      <c r="H28" s="9">
        <v>2050</v>
      </c>
    </row>
    <row r="29" spans="3:8" x14ac:dyDescent="0.35">
      <c r="C29" s="250" t="s">
        <v>314</v>
      </c>
      <c r="D29" t="s">
        <v>262</v>
      </c>
      <c r="E29" s="207">
        <f>E20*$D$26</f>
        <v>5.5555600000000007</v>
      </c>
      <c r="F29" s="207">
        <f t="shared" ref="F29:H29" si="2">F20*$D$26</f>
        <v>4.5784813999889593</v>
      </c>
      <c r="G29" s="207">
        <f t="shared" si="2"/>
        <v>3.5608755722746666</v>
      </c>
      <c r="H29" s="207">
        <f t="shared" si="2"/>
        <v>3.3055321311346124</v>
      </c>
    </row>
    <row r="30" spans="3:8" x14ac:dyDescent="0.35">
      <c r="C30" s="250"/>
      <c r="D30" t="s">
        <v>309</v>
      </c>
      <c r="E30" s="207">
        <f>E21*$D$26</f>
        <v>138.88900000000001</v>
      </c>
      <c r="F30" s="207">
        <f t="shared" ref="F30:H30" si="3">F21*$D$26</f>
        <v>114.46203499972398</v>
      </c>
      <c r="G30" s="207">
        <f t="shared" si="3"/>
        <v>89.021889306866669</v>
      </c>
      <c r="H30" s="207">
        <f t="shared" si="3"/>
        <v>82.638303278365314</v>
      </c>
    </row>
  </sheetData>
  <mergeCells count="2">
    <mergeCell ref="C20:C21"/>
    <mergeCell ref="C29:C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45303-CA51-49F3-B982-6DC738F6A593}">
  <sheetPr>
    <tabColor theme="7"/>
  </sheetPr>
  <dimension ref="B2:AA64"/>
  <sheetViews>
    <sheetView showGridLines="0" topLeftCell="A24" workbookViewId="0">
      <selection activeCell="D62" sqref="D62"/>
    </sheetView>
  </sheetViews>
  <sheetFormatPr defaultRowHeight="12" x14ac:dyDescent="0.35"/>
  <cols>
    <col min="3" max="3" width="14.75" customWidth="1"/>
    <col min="4" max="4" width="44.375" customWidth="1"/>
    <col min="5" max="17" width="16.375" customWidth="1"/>
    <col min="18" max="19" width="16.875" customWidth="1"/>
  </cols>
  <sheetData>
    <row r="2" spans="2:27" ht="16" thickBot="1" x14ac:dyDescent="0.4">
      <c r="B2" s="2" t="s">
        <v>221</v>
      </c>
      <c r="C2" s="2"/>
      <c r="D2" s="2"/>
      <c r="E2" s="2"/>
      <c r="F2" s="2"/>
      <c r="G2" s="2"/>
      <c r="H2" s="2"/>
      <c r="I2" s="2"/>
      <c r="J2" s="2"/>
      <c r="K2" s="2"/>
      <c r="L2" s="2"/>
      <c r="M2" s="2"/>
      <c r="N2" s="2"/>
      <c r="O2" s="2"/>
      <c r="P2" s="2"/>
      <c r="Q2" s="2"/>
      <c r="R2" s="2"/>
      <c r="S2" s="2"/>
      <c r="T2" s="2"/>
      <c r="U2" s="2"/>
      <c r="V2" s="2"/>
      <c r="W2" s="2"/>
      <c r="X2" s="2"/>
      <c r="Y2" s="2"/>
      <c r="Z2" s="2"/>
      <c r="AA2" s="2"/>
    </row>
    <row r="3" spans="2:27" ht="12.5" thickTop="1" x14ac:dyDescent="0.35"/>
    <row r="4" spans="2:27" ht="15" thickBot="1" x14ac:dyDescent="0.4">
      <c r="C4" s="1" t="s">
        <v>274</v>
      </c>
      <c r="D4" s="1"/>
      <c r="E4" s="1"/>
      <c r="F4" s="1"/>
      <c r="G4" s="1"/>
      <c r="H4" s="1"/>
      <c r="I4" s="1"/>
      <c r="J4" s="1"/>
      <c r="K4" s="1"/>
      <c r="L4" s="1"/>
      <c r="M4" s="1"/>
      <c r="N4" s="1"/>
      <c r="O4" s="1"/>
      <c r="P4" s="1"/>
      <c r="Q4" s="1"/>
      <c r="R4" s="1"/>
      <c r="S4" s="1"/>
      <c r="T4" s="1"/>
      <c r="U4" s="1"/>
      <c r="V4" s="1"/>
      <c r="W4" s="1"/>
      <c r="X4" s="1"/>
      <c r="Y4" s="1"/>
      <c r="Z4" s="1"/>
      <c r="AA4" s="1"/>
    </row>
    <row r="6" spans="2:27" x14ac:dyDescent="0.35">
      <c r="C6" t="s">
        <v>275</v>
      </c>
    </row>
    <row r="8" spans="2:27" x14ac:dyDescent="0.35">
      <c r="C8" s="9"/>
      <c r="D8" s="9">
        <v>2021</v>
      </c>
      <c r="E8" s="9">
        <v>2030</v>
      </c>
      <c r="F8" s="9">
        <v>2040</v>
      </c>
      <c r="G8" s="9">
        <v>2050</v>
      </c>
      <c r="H8" s="9" t="s">
        <v>211</v>
      </c>
      <c r="I8" s="9" t="s">
        <v>212</v>
      </c>
      <c r="J8" s="9" t="s">
        <v>213</v>
      </c>
    </row>
    <row r="9" spans="2:27" x14ac:dyDescent="0.35">
      <c r="C9" t="s">
        <v>67</v>
      </c>
      <c r="D9" s="166">
        <v>5.2779999999999996</v>
      </c>
      <c r="E9" s="166">
        <v>3.9220000000000002</v>
      </c>
      <c r="F9" s="166">
        <v>2.996</v>
      </c>
      <c r="G9" s="166">
        <v>2.7749999999999999</v>
      </c>
      <c r="H9" s="108">
        <f>(E9-D9)/D9</f>
        <v>-0.25691549829480853</v>
      </c>
      <c r="I9" s="108">
        <f>(F9-E9)/E9</f>
        <v>-0.23610402855685877</v>
      </c>
      <c r="J9" s="108">
        <f>(G9-F9)/F9</f>
        <v>-7.3765020026702294E-2</v>
      </c>
    </row>
    <row r="10" spans="2:27" x14ac:dyDescent="0.35">
      <c r="C10" t="s">
        <v>69</v>
      </c>
      <c r="D10" s="166">
        <v>24.39</v>
      </c>
      <c r="E10" s="166">
        <v>19.885000000000002</v>
      </c>
      <c r="F10" s="166">
        <v>17.398</v>
      </c>
      <c r="G10" s="166">
        <v>17.248999999999999</v>
      </c>
      <c r="H10" s="108">
        <f t="shared" ref="H10:H12" si="0">(E10-D10)/D10</f>
        <v>-0.18470684706847065</v>
      </c>
      <c r="I10" s="108">
        <f t="shared" ref="I10:I12" si="1">(F10-E10)/E10</f>
        <v>-0.12506914759869256</v>
      </c>
      <c r="J10" s="108">
        <f t="shared" ref="J10:J12" si="2">(G10-F10)/F10</f>
        <v>-8.5642027819290093E-3</v>
      </c>
    </row>
    <row r="11" spans="2:27" x14ac:dyDescent="0.35">
      <c r="C11" t="s">
        <v>68</v>
      </c>
      <c r="D11" s="166">
        <v>7.7</v>
      </c>
      <c r="E11" s="166">
        <v>8.6630000000000003</v>
      </c>
      <c r="F11" s="166">
        <v>6.1829999999999998</v>
      </c>
      <c r="G11" s="166">
        <v>4.2089999999999996</v>
      </c>
      <c r="H11" s="108">
        <f t="shared" si="0"/>
        <v>0.12506493506493507</v>
      </c>
      <c r="I11" s="108">
        <f>(F11-E11)/E11</f>
        <v>-0.28627496248412793</v>
      </c>
      <c r="J11" s="108">
        <f t="shared" si="2"/>
        <v>-0.31926249393498307</v>
      </c>
    </row>
    <row r="12" spans="2:27" x14ac:dyDescent="0.35">
      <c r="C12" t="s">
        <v>70</v>
      </c>
      <c r="D12" s="166">
        <v>26.032499999999999</v>
      </c>
      <c r="E12" s="166">
        <v>19.78</v>
      </c>
      <c r="F12" s="166">
        <v>14.06</v>
      </c>
      <c r="G12" s="166">
        <v>13.49</v>
      </c>
      <c r="H12" s="108">
        <f t="shared" si="0"/>
        <v>-0.24018054355132998</v>
      </c>
      <c r="I12" s="108">
        <f t="shared" si="1"/>
        <v>-0.2891809908998989</v>
      </c>
      <c r="J12" s="108">
        <f t="shared" si="2"/>
        <v>-4.0540540540540557E-2</v>
      </c>
    </row>
    <row r="14" spans="2:27" ht="15" thickBot="1" x14ac:dyDescent="0.4">
      <c r="C14" s="1" t="s">
        <v>245</v>
      </c>
      <c r="D14" s="1"/>
      <c r="E14" s="1"/>
      <c r="F14" s="1"/>
      <c r="G14" s="1"/>
      <c r="H14" s="1"/>
      <c r="I14" s="1"/>
      <c r="J14" s="1"/>
      <c r="K14" s="1"/>
      <c r="L14" s="1"/>
      <c r="M14" s="1"/>
      <c r="N14" s="1"/>
      <c r="O14" s="1"/>
      <c r="P14" s="1"/>
      <c r="Q14" s="1"/>
      <c r="R14" s="1"/>
      <c r="S14" s="1"/>
      <c r="T14" s="1"/>
      <c r="U14" s="1"/>
      <c r="V14" s="1"/>
      <c r="W14" s="1"/>
      <c r="X14" s="1"/>
      <c r="Y14" s="1"/>
      <c r="Z14" s="1"/>
      <c r="AA14" s="1"/>
    </row>
    <row r="16" spans="2:27" s="99" customFormat="1" ht="13.5" x14ac:dyDescent="0.35">
      <c r="D16" s="142" t="s">
        <v>67</v>
      </c>
      <c r="E16" s="142"/>
      <c r="F16" s="142"/>
      <c r="G16" s="142"/>
      <c r="H16" s="142"/>
      <c r="I16" s="142"/>
      <c r="J16" s="142"/>
      <c r="K16" s="142"/>
      <c r="L16" s="142"/>
      <c r="M16" s="142"/>
      <c r="N16" s="142"/>
      <c r="O16" s="142"/>
      <c r="P16" s="142"/>
      <c r="Q16" s="142"/>
      <c r="R16" s="142"/>
      <c r="S16" s="142"/>
    </row>
    <row r="19" spans="3:19" x14ac:dyDescent="0.35">
      <c r="C19" s="68" t="s">
        <v>280</v>
      </c>
    </row>
    <row r="21" spans="3:19" x14ac:dyDescent="0.35">
      <c r="C21" s="9"/>
      <c r="D21" s="9"/>
      <c r="E21" s="9">
        <v>2010</v>
      </c>
      <c r="F21" s="9">
        <v>2011</v>
      </c>
      <c r="G21" s="9">
        <v>2012</v>
      </c>
      <c r="H21" s="9">
        <v>2013</v>
      </c>
      <c r="I21" s="9">
        <v>2014</v>
      </c>
      <c r="J21" s="9">
        <v>2015</v>
      </c>
      <c r="K21" s="9">
        <v>2016</v>
      </c>
      <c r="L21" s="9">
        <v>2017</v>
      </c>
      <c r="M21" s="9">
        <v>2018</v>
      </c>
      <c r="N21" s="9">
        <v>2019</v>
      </c>
      <c r="O21" s="9">
        <v>2020</v>
      </c>
      <c r="P21" s="9">
        <v>2021</v>
      </c>
      <c r="Q21" s="9">
        <v>2030</v>
      </c>
      <c r="R21" s="9">
        <v>2040</v>
      </c>
      <c r="S21" s="9">
        <v>2050</v>
      </c>
    </row>
    <row r="22" spans="3:19" x14ac:dyDescent="0.35">
      <c r="C22" s="251" t="s">
        <v>67</v>
      </c>
      <c r="D22" t="s">
        <v>151</v>
      </c>
      <c r="E22" s="176">
        <v>1026.8489999999999</v>
      </c>
      <c r="F22" s="176">
        <v>935.25300000000004</v>
      </c>
      <c r="G22" s="176">
        <v>970.82799999999997</v>
      </c>
      <c r="H22" s="176">
        <v>933.50599999999997</v>
      </c>
      <c r="I22" s="176">
        <v>888.14300000000003</v>
      </c>
      <c r="J22" s="176">
        <v>857.43499999999995</v>
      </c>
      <c r="K22" s="176">
        <v>930.57799999999997</v>
      </c>
      <c r="L22" s="176">
        <v>940.91399999999999</v>
      </c>
      <c r="M22" s="176">
        <v>941.03</v>
      </c>
      <c r="N22" s="176">
        <v>951.32799999999997</v>
      </c>
      <c r="O22" s="176">
        <v>944.66399999999999</v>
      </c>
      <c r="P22" s="176">
        <v>965.20100000000002</v>
      </c>
      <c r="Q22" s="161"/>
      <c r="R22" s="161"/>
      <c r="S22" s="161"/>
    </row>
    <row r="23" spans="3:19" x14ac:dyDescent="0.35">
      <c r="C23" s="251"/>
      <c r="D23" s="105" t="s">
        <v>140</v>
      </c>
      <c r="E23" s="176">
        <v>54.901000000000003</v>
      </c>
      <c r="F23" s="176">
        <v>51.677</v>
      </c>
      <c r="G23" s="176">
        <v>55.331000000000003</v>
      </c>
      <c r="H23" s="176">
        <v>52.279000000000003</v>
      </c>
      <c r="I23" s="176">
        <v>52.213999999999999</v>
      </c>
      <c r="J23" s="176">
        <v>49.311999999999998</v>
      </c>
      <c r="K23" s="176">
        <v>57.868000000000002</v>
      </c>
      <c r="L23" s="176">
        <v>53.814</v>
      </c>
      <c r="M23" s="176">
        <v>54.969000000000001</v>
      </c>
      <c r="N23" s="176">
        <v>57.758000000000003</v>
      </c>
      <c r="O23" s="176">
        <v>56.167000000000002</v>
      </c>
      <c r="P23" s="176">
        <v>60.302999999999997</v>
      </c>
      <c r="Q23" s="161"/>
      <c r="R23" s="161"/>
      <c r="S23" s="161"/>
    </row>
    <row r="24" spans="3:19" x14ac:dyDescent="0.35">
      <c r="C24" s="251"/>
      <c r="D24" s="105" t="s">
        <v>271</v>
      </c>
      <c r="E24" s="109">
        <f>E23/E22</f>
        <v>5.3465504665242899E-2</v>
      </c>
      <c r="F24" s="109">
        <f t="shared" ref="F24:P24" si="3">F23/F22</f>
        <v>5.5254567480671E-2</v>
      </c>
      <c r="G24" s="109">
        <f t="shared" si="3"/>
        <v>5.6993617819016351E-2</v>
      </c>
      <c r="H24" s="109">
        <f t="shared" si="3"/>
        <v>5.6002853757769103E-2</v>
      </c>
      <c r="I24" s="109">
        <f t="shared" si="3"/>
        <v>5.8790082227749355E-2</v>
      </c>
      <c r="J24" s="109">
        <f t="shared" si="3"/>
        <v>5.7511064978686431E-2</v>
      </c>
      <c r="K24" s="109">
        <f t="shared" si="3"/>
        <v>6.2185007597428697E-2</v>
      </c>
      <c r="L24" s="109">
        <f t="shared" si="3"/>
        <v>5.7193324788450378E-2</v>
      </c>
      <c r="M24" s="109">
        <f t="shared" si="3"/>
        <v>5.8413653124767546E-2</v>
      </c>
      <c r="N24" s="109">
        <f t="shared" si="3"/>
        <v>6.071302431968785E-2</v>
      </c>
      <c r="O24" s="109">
        <f t="shared" si="3"/>
        <v>5.9457119145008175E-2</v>
      </c>
      <c r="P24" s="109">
        <f t="shared" si="3"/>
        <v>6.247714206678194E-2</v>
      </c>
      <c r="Q24" s="161"/>
      <c r="R24" s="161"/>
      <c r="S24" s="161"/>
    </row>
    <row r="25" spans="3:19" x14ac:dyDescent="0.35">
      <c r="C25" s="251"/>
      <c r="D25" s="180" t="s">
        <v>272</v>
      </c>
      <c r="E25" s="177">
        <v>0.77359999999999995</v>
      </c>
      <c r="F25" s="177">
        <v>0.70709999999999995</v>
      </c>
      <c r="G25" s="177">
        <v>0.73660000000000003</v>
      </c>
      <c r="H25" s="177">
        <v>0.71009999999999995</v>
      </c>
      <c r="I25" s="177">
        <v>0.67520000000000002</v>
      </c>
      <c r="J25" s="177">
        <v>0.65169999999999995</v>
      </c>
      <c r="K25" s="177">
        <v>0.70640000000000003</v>
      </c>
      <c r="L25" s="177">
        <v>0.7117</v>
      </c>
      <c r="M25" s="177">
        <v>0.70920000000000005</v>
      </c>
      <c r="N25" s="177">
        <v>0.71560000000000001</v>
      </c>
      <c r="O25" s="177">
        <f>N25</f>
        <v>0.71560000000000001</v>
      </c>
      <c r="P25" s="177">
        <f>O25</f>
        <v>0.71560000000000001</v>
      </c>
      <c r="Q25" s="161"/>
      <c r="R25" s="161"/>
      <c r="S25" s="161"/>
    </row>
    <row r="26" spans="3:19" x14ac:dyDescent="0.35">
      <c r="C26" s="251"/>
      <c r="D26" s="181" t="s">
        <v>273</v>
      </c>
      <c r="E26" s="182">
        <f>E25*E24</f>
        <v>4.1360914409031904E-2</v>
      </c>
      <c r="F26" s="182">
        <f t="shared" ref="F26:N26" si="4">F25*F24</f>
        <v>3.9070504665582463E-2</v>
      </c>
      <c r="G26" s="182">
        <f t="shared" si="4"/>
        <v>4.1981498885487446E-2</v>
      </c>
      <c r="H26" s="182">
        <f t="shared" si="4"/>
        <v>3.9767626453391838E-2</v>
      </c>
      <c r="I26" s="182">
        <f t="shared" si="4"/>
        <v>3.9695063520176363E-2</v>
      </c>
      <c r="J26" s="182">
        <f t="shared" si="4"/>
        <v>3.7479961046609944E-2</v>
      </c>
      <c r="K26" s="182">
        <f t="shared" si="4"/>
        <v>4.3927489366823634E-2</v>
      </c>
      <c r="L26" s="182">
        <f t="shared" si="4"/>
        <v>4.0704489251940132E-2</v>
      </c>
      <c r="M26" s="182">
        <f t="shared" si="4"/>
        <v>4.1426962796085147E-2</v>
      </c>
      <c r="N26" s="182">
        <f t="shared" si="4"/>
        <v>4.3446240203168625E-2</v>
      </c>
      <c r="O26" s="182">
        <f>N26</f>
        <v>4.3446240203168625E-2</v>
      </c>
      <c r="P26" s="182">
        <f>O26</f>
        <v>4.3446240203168625E-2</v>
      </c>
      <c r="Q26" s="183">
        <f>P26*(1+H9)</f>
        <v>3.2284227752335616E-2</v>
      </c>
      <c r="R26" s="183">
        <f>Q26*(1+I9)</f>
        <v>2.4661791521162036E-2</v>
      </c>
      <c r="S26" s="183">
        <f>R26*(1+J9)</f>
        <v>2.2842613975709164E-2</v>
      </c>
    </row>
    <row r="27" spans="3:19" x14ac:dyDescent="0.35">
      <c r="C27" s="251" t="s">
        <v>69</v>
      </c>
      <c r="D27" t="s">
        <v>151</v>
      </c>
      <c r="E27" s="176">
        <v>1593.2159999999999</v>
      </c>
      <c r="F27" s="176">
        <v>1532.2070000000001</v>
      </c>
      <c r="G27" s="176">
        <v>1534.798</v>
      </c>
      <c r="H27" s="176">
        <v>1467.1980000000001</v>
      </c>
      <c r="I27" s="176">
        <v>1400.9</v>
      </c>
      <c r="J27" s="176">
        <v>1359.1310000000001</v>
      </c>
      <c r="K27" s="176">
        <v>1433.211</v>
      </c>
      <c r="L27" s="176">
        <v>1455.374</v>
      </c>
      <c r="M27" s="176">
        <v>1511.606</v>
      </c>
      <c r="N27" s="176">
        <v>1447.1769999999999</v>
      </c>
      <c r="O27" s="176">
        <v>1433.3610000000001</v>
      </c>
      <c r="P27" s="176">
        <v>1629.694</v>
      </c>
      <c r="Q27" s="161"/>
      <c r="R27" s="161"/>
      <c r="S27" s="161"/>
    </row>
    <row r="28" spans="3:19" x14ac:dyDescent="0.35">
      <c r="C28" s="251"/>
      <c r="D28" s="105" t="s">
        <v>140</v>
      </c>
      <c r="E28" s="176">
        <v>158.38300000000001</v>
      </c>
      <c r="F28" s="176">
        <v>144.77600000000001</v>
      </c>
      <c r="G28" s="176">
        <v>135.42599999999999</v>
      </c>
      <c r="H28" s="176">
        <v>123.173</v>
      </c>
      <c r="I28" s="176">
        <v>119.991</v>
      </c>
      <c r="J28" s="176">
        <v>122.678</v>
      </c>
      <c r="K28" s="176">
        <v>145.464</v>
      </c>
      <c r="L28" s="176">
        <v>153.785</v>
      </c>
      <c r="M28" s="176">
        <v>164.72399999999999</v>
      </c>
      <c r="N28" s="176">
        <v>160.85900000000001</v>
      </c>
      <c r="O28" s="176">
        <v>174.375</v>
      </c>
      <c r="P28" s="176">
        <v>219.905</v>
      </c>
      <c r="Q28" s="161"/>
      <c r="R28" s="161"/>
      <c r="S28" s="161"/>
    </row>
    <row r="29" spans="3:19" x14ac:dyDescent="0.35">
      <c r="C29" s="251"/>
      <c r="D29" s="105" t="s">
        <v>271</v>
      </c>
      <c r="E29" s="109">
        <f>E28/E27</f>
        <v>9.9410877118984511E-2</v>
      </c>
      <c r="F29" s="109">
        <f t="shared" ref="F29" si="5">F28/F27</f>
        <v>9.4488538428554369E-2</v>
      </c>
      <c r="G29" s="109">
        <f t="shared" ref="G29" si="6">G28/G27</f>
        <v>8.8237018812899151E-2</v>
      </c>
      <c r="H29" s="109">
        <f t="shared" ref="H29" si="7">H28/H27</f>
        <v>8.3951177686992479E-2</v>
      </c>
      <c r="I29" s="109">
        <f t="shared" ref="I29" si="8">I28/I27</f>
        <v>8.5652794632022272E-2</v>
      </c>
      <c r="J29" s="109">
        <f t="shared" ref="J29" si="9">J28/J27</f>
        <v>9.026208658326533E-2</v>
      </c>
      <c r="K29" s="109">
        <f t="shared" ref="K29" si="10">K28/K27</f>
        <v>0.10149517412300073</v>
      </c>
      <c r="L29" s="109">
        <f t="shared" ref="L29" si="11">L28/L27</f>
        <v>0.10566699693686983</v>
      </c>
      <c r="M29" s="109">
        <f t="shared" ref="M29" si="12">M28/M27</f>
        <v>0.1089728408064006</v>
      </c>
      <c r="N29" s="109">
        <f t="shared" ref="N29" si="13">N28/N27</f>
        <v>0.11115364602947671</v>
      </c>
      <c r="O29" s="109">
        <f t="shared" ref="O29" si="14">O28/O27</f>
        <v>0.12165462852693773</v>
      </c>
      <c r="P29" s="109">
        <f t="shared" ref="P29" si="15">P28/P27</f>
        <v>0.13493637455865948</v>
      </c>
      <c r="Q29" s="161"/>
      <c r="R29" s="161"/>
      <c r="S29" s="161"/>
    </row>
    <row r="30" spans="3:19" x14ac:dyDescent="0.35">
      <c r="C30" s="251"/>
      <c r="D30" s="180" t="s">
        <v>272</v>
      </c>
      <c r="E30" s="177">
        <v>0.52610000000000001</v>
      </c>
      <c r="F30" s="177">
        <v>0.51280000000000003</v>
      </c>
      <c r="G30" s="177">
        <v>0.51890000000000003</v>
      </c>
      <c r="H30" s="177">
        <v>0.50029999999999997</v>
      </c>
      <c r="I30" s="177">
        <v>0.48230000000000001</v>
      </c>
      <c r="J30" s="177">
        <v>0.47389999999999999</v>
      </c>
      <c r="K30" s="177">
        <v>0.50670000000000004</v>
      </c>
      <c r="L30" s="177">
        <v>0.51949999999999996</v>
      </c>
      <c r="M30" s="177">
        <v>0.54100000000000004</v>
      </c>
      <c r="N30" s="177">
        <v>0.51780000000000004</v>
      </c>
      <c r="O30" s="177">
        <f>N30</f>
        <v>0.51780000000000004</v>
      </c>
      <c r="P30" s="177">
        <f>O30</f>
        <v>0.51780000000000004</v>
      </c>
      <c r="Q30" s="161"/>
      <c r="R30" s="161"/>
      <c r="S30" s="161"/>
    </row>
    <row r="31" spans="3:19" x14ac:dyDescent="0.35">
      <c r="C31" s="251"/>
      <c r="D31" s="181" t="s">
        <v>273</v>
      </c>
      <c r="E31" s="182">
        <f>E30*E29</f>
        <v>5.2300062452297749E-2</v>
      </c>
      <c r="F31" s="182">
        <f t="shared" ref="F31" si="16">F30*F29</f>
        <v>4.8453722506162686E-2</v>
      </c>
      <c r="G31" s="182">
        <f t="shared" ref="G31" si="17">G30*G29</f>
        <v>4.5786189062013372E-2</v>
      </c>
      <c r="H31" s="182">
        <f t="shared" ref="H31" si="18">H30*H29</f>
        <v>4.2000774196802336E-2</v>
      </c>
      <c r="I31" s="182">
        <f t="shared" ref="I31" si="19">I30*I29</f>
        <v>4.1310342851024341E-2</v>
      </c>
      <c r="J31" s="182">
        <f t="shared" ref="J31" si="20">J30*J29</f>
        <v>4.2775202831809439E-2</v>
      </c>
      <c r="K31" s="182">
        <f t="shared" ref="K31" si="21">K30*K29</f>
        <v>5.1427604728124472E-2</v>
      </c>
      <c r="L31" s="182">
        <f t="shared" ref="L31" si="22">L30*L29</f>
        <v>5.4894004908703872E-2</v>
      </c>
      <c r="M31" s="182">
        <f t="shared" ref="M31" si="23">M30*M29</f>
        <v>5.8954306876262727E-2</v>
      </c>
      <c r="N31" s="182">
        <f t="shared" ref="N31" si="24">N30*N29</f>
        <v>5.7555357914063042E-2</v>
      </c>
      <c r="O31" s="182">
        <f>N31</f>
        <v>5.7555357914063042E-2</v>
      </c>
      <c r="P31" s="182">
        <f>O31</f>
        <v>5.7555357914063042E-2</v>
      </c>
      <c r="Q31" s="184">
        <f>P31*(1+H10)</f>
        <v>4.6924489221859107E-2</v>
      </c>
      <c r="R31" s="184">
        <f t="shared" ref="R31:S31" si="25">Q31*(1+I10)</f>
        <v>4.105568335337715E-2</v>
      </c>
      <c r="S31" s="184">
        <f t="shared" si="25"/>
        <v>4.070407415578816E-2</v>
      </c>
    </row>
    <row r="32" spans="3:19" x14ac:dyDescent="0.35">
      <c r="C32" s="251" t="s">
        <v>69</v>
      </c>
      <c r="D32" t="s">
        <v>151</v>
      </c>
      <c r="E32" s="176">
        <v>1388.905</v>
      </c>
      <c r="F32" s="176">
        <v>1327.3889999999999</v>
      </c>
      <c r="G32" s="176">
        <v>1376.24</v>
      </c>
      <c r="H32" s="176">
        <v>1267.242</v>
      </c>
      <c r="I32" s="176">
        <v>1238.471</v>
      </c>
      <c r="J32" s="176">
        <v>1105.5820000000001</v>
      </c>
      <c r="K32" s="176">
        <v>1143.4829999999999</v>
      </c>
      <c r="L32" s="176">
        <v>1195.604</v>
      </c>
      <c r="M32" s="176">
        <v>1231.009</v>
      </c>
      <c r="N32" s="176">
        <v>1187.9670000000001</v>
      </c>
      <c r="O32" s="176">
        <v>1115.366</v>
      </c>
      <c r="P32" s="176">
        <v>1202.9559999999999</v>
      </c>
      <c r="Q32" s="161"/>
      <c r="R32" s="161"/>
      <c r="S32" s="161"/>
    </row>
    <row r="33" spans="3:19" x14ac:dyDescent="0.35">
      <c r="C33" s="251"/>
      <c r="D33" s="105" t="s">
        <v>140</v>
      </c>
      <c r="E33" s="176">
        <v>124.441</v>
      </c>
      <c r="F33" s="176">
        <v>106.836</v>
      </c>
      <c r="G33" s="176">
        <v>106.81399999999999</v>
      </c>
      <c r="H33" s="176">
        <v>101.69799999999999</v>
      </c>
      <c r="I33" s="176">
        <v>101.333</v>
      </c>
      <c r="J33" s="176">
        <v>98.087000000000003</v>
      </c>
      <c r="K33" s="176">
        <v>106.36199999999999</v>
      </c>
      <c r="L33" s="176">
        <v>111.346</v>
      </c>
      <c r="M33" s="176">
        <v>119.182</v>
      </c>
      <c r="N33" s="176">
        <v>110.732</v>
      </c>
      <c r="O33" s="176">
        <v>109.571</v>
      </c>
      <c r="P33" s="176">
        <v>115.401</v>
      </c>
      <c r="Q33" s="161"/>
      <c r="R33" s="161"/>
      <c r="S33" s="161"/>
    </row>
    <row r="34" spans="3:19" x14ac:dyDescent="0.35">
      <c r="C34" s="251"/>
      <c r="D34" s="105" t="s">
        <v>271</v>
      </c>
      <c r="E34" s="109">
        <f>E33/E32</f>
        <v>8.9596480680824112E-2</v>
      </c>
      <c r="F34" s="109">
        <f t="shared" ref="F34" si="26">F33/F32</f>
        <v>8.0485825933467883E-2</v>
      </c>
      <c r="G34" s="109">
        <f t="shared" ref="G34" si="27">G33/G32</f>
        <v>7.7612916351799094E-2</v>
      </c>
      <c r="H34" s="109">
        <f t="shared" ref="H34" si="28">H33/H32</f>
        <v>8.0251443686367718E-2</v>
      </c>
      <c r="I34" s="109">
        <f t="shared" ref="I34" si="29">I33/I32</f>
        <v>8.182105192612503E-2</v>
      </c>
      <c r="J34" s="109">
        <f t="shared" ref="J34" si="30">J33/J32</f>
        <v>8.8719787406090184E-2</v>
      </c>
      <c r="K34" s="109">
        <f t="shared" ref="K34" si="31">K33/K32</f>
        <v>9.3015812215835297E-2</v>
      </c>
      <c r="L34" s="109">
        <f t="shared" ref="L34" si="32">L33/L32</f>
        <v>9.3129497726672048E-2</v>
      </c>
      <c r="M34" s="109">
        <f t="shared" ref="M34" si="33">M33/M32</f>
        <v>9.6816513932879447E-2</v>
      </c>
      <c r="N34" s="109">
        <f t="shared" ref="N34" si="34">N33/N32</f>
        <v>9.3211343412737888E-2</v>
      </c>
      <c r="O34" s="109">
        <f t="shared" ref="O34" si="35">O33/O32</f>
        <v>9.8237708518997352E-2</v>
      </c>
      <c r="P34" s="109">
        <f t="shared" ref="P34" si="36">P33/P32</f>
        <v>9.5931189503190475E-2</v>
      </c>
      <c r="Q34" s="161"/>
      <c r="R34" s="161"/>
      <c r="S34" s="161"/>
    </row>
    <row r="35" spans="3:19" x14ac:dyDescent="0.35">
      <c r="C35" s="251"/>
      <c r="D35" s="180" t="s">
        <v>272</v>
      </c>
      <c r="E35" s="177">
        <v>0.67430000000000001</v>
      </c>
      <c r="F35" s="177">
        <v>0.65249999999999997</v>
      </c>
      <c r="G35" s="177">
        <v>0.68379999999999996</v>
      </c>
      <c r="H35" s="177">
        <v>0.63560000000000005</v>
      </c>
      <c r="I35" s="177">
        <v>0.62629999999999997</v>
      </c>
      <c r="J35" s="177">
        <v>0.56420000000000003</v>
      </c>
      <c r="K35" s="177">
        <v>0.5887</v>
      </c>
      <c r="L35" s="177">
        <v>0.62039999999999995</v>
      </c>
      <c r="M35" s="177">
        <v>0.64319999999999999</v>
      </c>
      <c r="N35" s="177">
        <v>0.62509999999999999</v>
      </c>
      <c r="O35" s="177">
        <f>N35</f>
        <v>0.62509999999999999</v>
      </c>
      <c r="P35" s="177">
        <f>O35</f>
        <v>0.62509999999999999</v>
      </c>
      <c r="Q35" s="161"/>
      <c r="R35" s="161"/>
      <c r="S35" s="161"/>
    </row>
    <row r="36" spans="3:19" x14ac:dyDescent="0.35">
      <c r="C36" s="251"/>
      <c r="D36" s="105" t="s">
        <v>273</v>
      </c>
      <c r="E36" s="178">
        <f>E35*E34</f>
        <v>6.04149069230797E-2</v>
      </c>
      <c r="F36" s="178">
        <f t="shared" ref="F36" si="37">F35*F34</f>
        <v>5.2517001421587793E-2</v>
      </c>
      <c r="G36" s="178">
        <f t="shared" ref="G36" si="38">G35*G34</f>
        <v>5.307171220136022E-2</v>
      </c>
      <c r="H36" s="178">
        <f t="shared" ref="H36" si="39">H35*H34</f>
        <v>5.1007817607055327E-2</v>
      </c>
      <c r="I36" s="178">
        <f t="shared" ref="I36" si="40">I35*I34</f>
        <v>5.1244524821332106E-2</v>
      </c>
      <c r="J36" s="178">
        <f t="shared" ref="J36" si="41">J35*J34</f>
        <v>5.0055704054516086E-2</v>
      </c>
      <c r="K36" s="178">
        <f t="shared" ref="K36" si="42">K35*K34</f>
        <v>5.475840865146224E-2</v>
      </c>
      <c r="L36" s="178">
        <f t="shared" ref="L36" si="43">L35*L34</f>
        <v>5.7777540389627333E-2</v>
      </c>
      <c r="M36" s="178">
        <f t="shared" ref="M36" si="44">M35*M34</f>
        <v>6.2272381761628061E-2</v>
      </c>
      <c r="N36" s="178">
        <f t="shared" ref="N36" si="45">N35*N34</f>
        <v>5.8266410767302455E-2</v>
      </c>
      <c r="O36" s="178">
        <f>N36</f>
        <v>5.8266410767302455E-2</v>
      </c>
      <c r="P36" s="178">
        <f>O36</f>
        <v>5.8266410767302455E-2</v>
      </c>
      <c r="Q36" s="179">
        <f>P36*(1+H11)</f>
        <v>6.5553495646381979E-2</v>
      </c>
      <c r="R36" s="179">
        <f>Q36*(1+I11)</f>
        <v>4.6787171139510537E-2</v>
      </c>
      <c r="S36" s="179">
        <f t="shared" ref="S36" si="46">R36*(1+J11)</f>
        <v>3.1849782197347541E-2</v>
      </c>
    </row>
    <row r="37" spans="3:19" x14ac:dyDescent="0.35">
      <c r="C37" s="251" t="s">
        <v>70</v>
      </c>
      <c r="D37" t="s">
        <v>151</v>
      </c>
      <c r="E37" s="118">
        <v>5811.348</v>
      </c>
      <c r="F37" s="118">
        <v>5091.152</v>
      </c>
      <c r="G37" s="118">
        <v>5455.6350000000002</v>
      </c>
      <c r="H37" s="118">
        <v>5172.7340000000004</v>
      </c>
      <c r="I37" s="118">
        <v>5126.2</v>
      </c>
      <c r="J37" s="118">
        <v>4950.9750000000004</v>
      </c>
      <c r="K37" s="118">
        <v>5342.2349999999997</v>
      </c>
      <c r="L37" s="118">
        <v>5761.4350000000004</v>
      </c>
      <c r="M37" s="118">
        <v>5691.11</v>
      </c>
      <c r="N37" s="118">
        <v>5631.0349999999999</v>
      </c>
      <c r="O37" s="118">
        <v>5284.8130000000001</v>
      </c>
      <c r="P37" s="118">
        <v>6012.7280000000001</v>
      </c>
      <c r="Q37" s="161"/>
      <c r="R37" s="161"/>
      <c r="S37" s="161"/>
    </row>
    <row r="38" spans="3:19" x14ac:dyDescent="0.35">
      <c r="C38" s="251"/>
      <c r="D38" s="105" t="s">
        <v>140</v>
      </c>
      <c r="E38" s="118">
        <v>46.043999999999997</v>
      </c>
      <c r="F38" s="118">
        <v>30.933</v>
      </c>
      <c r="G38" s="118">
        <v>33.319000000000003</v>
      </c>
      <c r="H38" s="118">
        <v>29.449000000000002</v>
      </c>
      <c r="I38" s="118">
        <v>28.675999999999998</v>
      </c>
      <c r="J38" s="118">
        <v>25.364999999999998</v>
      </c>
      <c r="K38" s="118">
        <v>26.225999999999999</v>
      </c>
      <c r="L38" s="118">
        <v>25.9</v>
      </c>
      <c r="M38" s="118">
        <v>24.507999999999999</v>
      </c>
      <c r="N38" s="118">
        <v>26.658000000000001</v>
      </c>
      <c r="O38" s="118">
        <v>23.949000000000002</v>
      </c>
      <c r="P38" s="118">
        <v>31.925000000000001</v>
      </c>
      <c r="Q38" s="161"/>
      <c r="R38" s="161"/>
      <c r="S38" s="161"/>
    </row>
    <row r="39" spans="3:19" x14ac:dyDescent="0.35">
      <c r="C39" s="251"/>
      <c r="D39" s="105" t="s">
        <v>271</v>
      </c>
      <c r="E39" s="109">
        <f>E38/E37</f>
        <v>7.9231186981058438E-3</v>
      </c>
      <c r="F39" s="109">
        <f t="shared" ref="F39" si="47">F38/F37</f>
        <v>6.0758350958682828E-3</v>
      </c>
      <c r="G39" s="109">
        <f t="shared" ref="G39" si="48">G38/G37</f>
        <v>6.1072634074676923E-3</v>
      </c>
      <c r="H39" s="109">
        <f t="shared" ref="H39" si="49">H38/H37</f>
        <v>5.6931208911960287E-3</v>
      </c>
      <c r="I39" s="109">
        <f t="shared" ref="I39" si="50">I38/I37</f>
        <v>5.5940072568374235E-3</v>
      </c>
      <c r="J39" s="109">
        <f t="shared" ref="J39" si="51">J38/J37</f>
        <v>5.123233302531319E-3</v>
      </c>
      <c r="K39" s="109">
        <f t="shared" ref="K39" si="52">K38/K37</f>
        <v>4.9091812696371463E-3</v>
      </c>
      <c r="L39" s="109">
        <f t="shared" ref="L39" si="53">L38/L37</f>
        <v>4.4954078280844958E-3</v>
      </c>
      <c r="M39" s="109">
        <f t="shared" ref="M39" si="54">M38/M37</f>
        <v>4.3063655420471575E-3</v>
      </c>
      <c r="N39" s="109">
        <f t="shared" ref="N39" si="55">N38/N37</f>
        <v>4.7341208143795947E-3</v>
      </c>
      <c r="O39" s="109">
        <f t="shared" ref="O39" si="56">O38/O37</f>
        <v>4.5316646019452345E-3</v>
      </c>
      <c r="P39" s="109">
        <f t="shared" ref="P39" si="57">P38/P37</f>
        <v>5.309569965579684E-3</v>
      </c>
      <c r="Q39" s="161"/>
      <c r="R39" s="161"/>
      <c r="S39" s="161"/>
    </row>
    <row r="40" spans="3:19" x14ac:dyDescent="0.35">
      <c r="C40" s="251"/>
      <c r="D40" s="180" t="s">
        <v>272</v>
      </c>
      <c r="E40" s="177">
        <v>1.0785</v>
      </c>
      <c r="F40" s="177">
        <v>0.94040000000000001</v>
      </c>
      <c r="G40" s="177">
        <v>1.0031000000000001</v>
      </c>
      <c r="H40" s="177">
        <v>0.94710000000000005</v>
      </c>
      <c r="I40" s="177">
        <v>0.9355</v>
      </c>
      <c r="J40" s="177">
        <v>0.90090000000000003</v>
      </c>
      <c r="K40" s="177">
        <v>0.96989999999999998</v>
      </c>
      <c r="L40" s="177">
        <v>1.0446</v>
      </c>
      <c r="M40" s="177">
        <v>1.0306999999999999</v>
      </c>
      <c r="N40" s="177">
        <v>1.0184</v>
      </c>
      <c r="O40" s="177">
        <f>N40</f>
        <v>1.0184</v>
      </c>
      <c r="P40" s="177">
        <f>O40</f>
        <v>1.0184</v>
      </c>
      <c r="Q40" s="161"/>
      <c r="R40" s="161"/>
      <c r="S40" s="161"/>
    </row>
    <row r="41" spans="3:19" x14ac:dyDescent="0.35">
      <c r="C41" s="251"/>
      <c r="D41" s="181" t="s">
        <v>273</v>
      </c>
      <c r="E41" s="178">
        <f>E40*E39</f>
        <v>8.5450835159071523E-3</v>
      </c>
      <c r="F41" s="178">
        <f t="shared" ref="F41" si="58">F40*F39</f>
        <v>5.7137153241545334E-3</v>
      </c>
      <c r="G41" s="178">
        <f t="shared" ref="G41" si="59">G40*G39</f>
        <v>6.1261959240308424E-3</v>
      </c>
      <c r="H41" s="178">
        <f t="shared" ref="H41" si="60">H40*H39</f>
        <v>5.3919547960517593E-3</v>
      </c>
      <c r="I41" s="178">
        <f t="shared" ref="I41" si="61">I40*I39</f>
        <v>5.2331937887714099E-3</v>
      </c>
      <c r="J41" s="178">
        <f t="shared" ref="J41" si="62">J40*J39</f>
        <v>4.6155208822504651E-3</v>
      </c>
      <c r="K41" s="178">
        <f t="shared" ref="K41" si="63">K40*K39</f>
        <v>4.7614149134210682E-3</v>
      </c>
      <c r="L41" s="178">
        <f t="shared" ref="L41" si="64">L40*L39</f>
        <v>4.6959030172170641E-3</v>
      </c>
      <c r="M41" s="178">
        <f t="shared" ref="M41" si="65">M40*M39</f>
        <v>4.4385709641880048E-3</v>
      </c>
      <c r="N41" s="178">
        <f t="shared" ref="N41" si="66">N40*N39</f>
        <v>4.8212286373641791E-3</v>
      </c>
      <c r="O41" s="178">
        <f>N41</f>
        <v>4.8212286373641791E-3</v>
      </c>
      <c r="P41" s="178">
        <f>O41</f>
        <v>4.8212286373641791E-3</v>
      </c>
      <c r="Q41" s="179">
        <f>P41*(1+H12)</f>
        <v>3.6632633226568127E-3</v>
      </c>
      <c r="R41" s="179">
        <f t="shared" ref="R41:S41" si="67">Q41*(1+I12)</f>
        <v>2.6039172050836596E-3</v>
      </c>
      <c r="S41" s="179">
        <f t="shared" si="67"/>
        <v>2.4983529940667544E-3</v>
      </c>
    </row>
    <row r="44" spans="3:19" ht="15" thickBot="1" x14ac:dyDescent="0.4">
      <c r="C44" s="1" t="s">
        <v>244</v>
      </c>
      <c r="D44" s="1"/>
      <c r="E44" s="1"/>
      <c r="F44" s="1"/>
      <c r="G44" s="1"/>
      <c r="H44" s="1"/>
      <c r="I44" s="1"/>
      <c r="J44" s="1"/>
      <c r="K44" s="1"/>
      <c r="L44" s="1"/>
      <c r="M44" s="1"/>
      <c r="N44" s="1"/>
      <c r="O44" s="1"/>
      <c r="P44" s="1"/>
      <c r="Q44" s="1"/>
      <c r="R44" s="1"/>
      <c r="S44" s="1"/>
    </row>
    <row r="46" spans="3:19" ht="13.5" x14ac:dyDescent="0.35">
      <c r="D46" s="5" t="s">
        <v>276</v>
      </c>
      <c r="E46" s="5"/>
      <c r="F46" s="5"/>
      <c r="G46" s="5"/>
      <c r="H46" s="5"/>
      <c r="I46" s="5"/>
      <c r="J46" s="5"/>
      <c r="K46" s="5"/>
      <c r="L46" s="5"/>
      <c r="M46" s="5"/>
      <c r="N46" s="5"/>
      <c r="O46" s="5"/>
      <c r="P46" s="5"/>
      <c r="Q46" s="5"/>
      <c r="R46" s="5"/>
      <c r="S46" s="5"/>
    </row>
    <row r="48" spans="3:19" x14ac:dyDescent="0.35">
      <c r="C48" s="9"/>
      <c r="D48" s="9">
        <v>2030</v>
      </c>
      <c r="E48" s="9">
        <v>2040</v>
      </c>
      <c r="F48" s="9">
        <v>2050</v>
      </c>
    </row>
    <row r="49" spans="3:19" x14ac:dyDescent="0.35">
      <c r="C49" t="s">
        <v>67</v>
      </c>
      <c r="D49" s="159">
        <f>Q26</f>
        <v>3.2284227752335616E-2</v>
      </c>
      <c r="E49" s="159">
        <f t="shared" ref="E49:F49" si="68">R26</f>
        <v>2.4661791521162036E-2</v>
      </c>
      <c r="F49" s="159">
        <f t="shared" si="68"/>
        <v>2.2842613975709164E-2</v>
      </c>
    </row>
    <row r="50" spans="3:19" x14ac:dyDescent="0.35">
      <c r="C50" t="s">
        <v>69</v>
      </c>
      <c r="D50" s="159">
        <f>Q31</f>
        <v>4.6924489221859107E-2</v>
      </c>
      <c r="E50" s="159">
        <f t="shared" ref="E50:F50" si="69">R31</f>
        <v>4.105568335337715E-2</v>
      </c>
      <c r="F50" s="159">
        <f t="shared" si="69"/>
        <v>4.070407415578816E-2</v>
      </c>
    </row>
    <row r="51" spans="3:19" x14ac:dyDescent="0.35">
      <c r="C51" t="s">
        <v>68</v>
      </c>
      <c r="D51" s="159">
        <f>Q36</f>
        <v>6.5553495646381979E-2</v>
      </c>
      <c r="E51" s="159">
        <f t="shared" ref="E51:F51" si="70">R36</f>
        <v>4.6787171139510537E-2</v>
      </c>
      <c r="F51" s="159">
        <f t="shared" si="70"/>
        <v>3.1849782197347541E-2</v>
      </c>
    </row>
    <row r="52" spans="3:19" x14ac:dyDescent="0.35">
      <c r="C52" t="s">
        <v>70</v>
      </c>
      <c r="D52" s="159">
        <f>Q41</f>
        <v>3.6632633226568127E-3</v>
      </c>
      <c r="E52" s="159">
        <f t="shared" ref="E52:F52" si="71">R41</f>
        <v>2.6039172050836596E-3</v>
      </c>
      <c r="F52" s="159">
        <f t="shared" si="71"/>
        <v>2.4983529940667544E-3</v>
      </c>
    </row>
    <row r="54" spans="3:19" ht="13.5" x14ac:dyDescent="0.35">
      <c r="D54" s="5" t="s">
        <v>277</v>
      </c>
      <c r="E54" s="5"/>
      <c r="F54" s="5"/>
      <c r="G54" s="5"/>
      <c r="H54" s="5"/>
      <c r="I54" s="5"/>
      <c r="J54" s="5"/>
      <c r="K54" s="5"/>
      <c r="L54" s="5"/>
      <c r="M54" s="5"/>
      <c r="N54" s="5"/>
      <c r="O54" s="5"/>
      <c r="P54" s="5"/>
      <c r="Q54" s="5"/>
      <c r="R54" s="5"/>
      <c r="S54" s="5"/>
    </row>
    <row r="56" spans="3:19" x14ac:dyDescent="0.35">
      <c r="C56" s="9"/>
      <c r="D56" s="9" t="s">
        <v>176</v>
      </c>
    </row>
    <row r="57" spans="3:19" x14ac:dyDescent="0.35">
      <c r="C57" t="s">
        <v>278</v>
      </c>
      <c r="D57" s="26">
        <v>1</v>
      </c>
    </row>
    <row r="58" spans="3:19" x14ac:dyDescent="0.35">
      <c r="C58" t="s">
        <v>279</v>
      </c>
      <c r="D58" s="26">
        <v>11630</v>
      </c>
    </row>
    <row r="60" spans="3:19" x14ac:dyDescent="0.35">
      <c r="C60" s="9"/>
      <c r="D60" s="9">
        <v>2030</v>
      </c>
      <c r="E60" s="9">
        <v>2040</v>
      </c>
      <c r="F60" s="9">
        <v>2050</v>
      </c>
    </row>
    <row r="61" spans="3:19" x14ac:dyDescent="0.35">
      <c r="C61" t="s">
        <v>67</v>
      </c>
      <c r="D61" s="160">
        <f>D49*$D$58</f>
        <v>375.4655687596632</v>
      </c>
      <c r="E61" s="160">
        <f t="shared" ref="E61:F61" si="72">E49*$D$58</f>
        <v>286.81663539111446</v>
      </c>
      <c r="F61" s="160">
        <f t="shared" si="72"/>
        <v>265.65960053749757</v>
      </c>
    </row>
    <row r="62" spans="3:19" x14ac:dyDescent="0.35">
      <c r="C62" t="s">
        <v>69</v>
      </c>
      <c r="D62" s="160">
        <f t="shared" ref="D62:F64" si="73">D50*$D$58</f>
        <v>545.73180965022141</v>
      </c>
      <c r="E62" s="160">
        <f t="shared" si="73"/>
        <v>477.47759739977624</v>
      </c>
      <c r="F62" s="160">
        <f t="shared" si="73"/>
        <v>473.3883824318163</v>
      </c>
    </row>
    <row r="63" spans="3:19" x14ac:dyDescent="0.35">
      <c r="C63" t="s">
        <v>68</v>
      </c>
      <c r="D63" s="160">
        <f t="shared" si="73"/>
        <v>762.38715436742245</v>
      </c>
      <c r="E63" s="160">
        <f t="shared" si="73"/>
        <v>544.13480035250757</v>
      </c>
      <c r="F63" s="160">
        <f t="shared" si="73"/>
        <v>370.41296695515189</v>
      </c>
    </row>
    <row r="64" spans="3:19" x14ac:dyDescent="0.35">
      <c r="C64" t="s">
        <v>70</v>
      </c>
      <c r="D64" s="160">
        <f t="shared" si="73"/>
        <v>42.603752442498731</v>
      </c>
      <c r="E64" s="160">
        <f t="shared" si="73"/>
        <v>30.283557095122962</v>
      </c>
      <c r="F64" s="160">
        <f t="shared" si="73"/>
        <v>29.055845320996355</v>
      </c>
    </row>
  </sheetData>
  <mergeCells count="4">
    <mergeCell ref="C37:C41"/>
    <mergeCell ref="C22:C26"/>
    <mergeCell ref="C27:C31"/>
    <mergeCell ref="C32:C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93894-2B9F-4CE5-84A5-DEE9A29C05DA}">
  <sheetPr>
    <tabColor theme="7"/>
  </sheetPr>
  <dimension ref="B2:AE176"/>
  <sheetViews>
    <sheetView showGridLines="0" workbookViewId="0">
      <selection activeCell="A109" sqref="A109:XFD109"/>
    </sheetView>
  </sheetViews>
  <sheetFormatPr defaultRowHeight="12" x14ac:dyDescent="0.35"/>
  <cols>
    <col min="3" max="3" width="42.625" customWidth="1"/>
    <col min="4" max="17" width="16.375" customWidth="1"/>
    <col min="18" max="19" width="16.875" customWidth="1"/>
  </cols>
  <sheetData>
    <row r="2" spans="2:31" ht="16" thickBot="1" x14ac:dyDescent="0.4">
      <c r="B2" s="2" t="s">
        <v>221</v>
      </c>
      <c r="C2" s="2"/>
      <c r="D2" s="2"/>
      <c r="E2" s="2"/>
      <c r="F2" s="2"/>
      <c r="G2" s="2"/>
      <c r="H2" s="2"/>
      <c r="I2" s="2"/>
      <c r="J2" s="2"/>
      <c r="K2" s="2"/>
      <c r="L2" s="2"/>
      <c r="M2" s="2"/>
      <c r="N2" s="2"/>
      <c r="O2" s="2"/>
      <c r="P2" s="2"/>
      <c r="Q2" s="2"/>
      <c r="R2" s="2"/>
      <c r="S2" s="2"/>
      <c r="T2" s="2"/>
      <c r="U2" s="2"/>
      <c r="V2" s="2"/>
      <c r="W2" s="2"/>
      <c r="X2" s="2"/>
      <c r="Y2" s="2"/>
      <c r="Z2" s="2"/>
      <c r="AA2" s="2"/>
    </row>
    <row r="3" spans="2:31" ht="12.5" thickTop="1" x14ac:dyDescent="0.35"/>
    <row r="4" spans="2:31" ht="15" thickBot="1" x14ac:dyDescent="0.4">
      <c r="C4" s="1" t="s">
        <v>214</v>
      </c>
      <c r="D4" s="1"/>
      <c r="E4" s="1"/>
      <c r="F4" s="1"/>
      <c r="G4" s="1"/>
      <c r="H4" s="1"/>
      <c r="I4" s="1"/>
      <c r="J4" s="1"/>
      <c r="K4" s="1"/>
      <c r="L4" s="1"/>
      <c r="M4" s="1"/>
      <c r="N4" s="1"/>
      <c r="O4" s="1"/>
      <c r="P4" s="1"/>
      <c r="Q4" s="1"/>
      <c r="R4" s="1"/>
      <c r="S4" s="1"/>
      <c r="T4" s="1"/>
      <c r="U4" s="1"/>
      <c r="V4" s="1"/>
      <c r="W4" s="1"/>
      <c r="X4" s="1"/>
      <c r="Y4" s="1"/>
      <c r="Z4" s="1"/>
      <c r="AA4" s="1"/>
      <c r="AB4" s="1"/>
      <c r="AC4" s="1"/>
      <c r="AD4" s="1"/>
      <c r="AE4" s="1"/>
    </row>
    <row r="6" spans="2:31" x14ac:dyDescent="0.35">
      <c r="C6" s="68" t="s">
        <v>227</v>
      </c>
      <c r="D6" s="68"/>
      <c r="E6" s="68"/>
      <c r="F6" s="68"/>
      <c r="G6" s="68"/>
    </row>
    <row r="8" spans="2:31" s="99" customFormat="1" x14ac:dyDescent="0.35">
      <c r="C8" s="143"/>
      <c r="D8" s="224">
        <v>2022</v>
      </c>
      <c r="E8" s="224"/>
      <c r="F8" s="224"/>
      <c r="G8" s="224"/>
      <c r="H8" s="224">
        <v>2030</v>
      </c>
      <c r="I8" s="224"/>
      <c r="J8" s="224"/>
      <c r="K8" s="224"/>
      <c r="L8" s="224">
        <v>2040</v>
      </c>
      <c r="M8" s="224"/>
      <c r="N8" s="224"/>
      <c r="O8" s="224"/>
      <c r="P8" s="224">
        <v>2050</v>
      </c>
      <c r="Q8" s="224"/>
      <c r="R8" s="224"/>
      <c r="S8" s="224"/>
    </row>
    <row r="9" spans="2:31" s="99" customFormat="1" x14ac:dyDescent="0.35">
      <c r="C9" s="143"/>
      <c r="D9" s="143" t="s">
        <v>67</v>
      </c>
      <c r="E9" s="143" t="s">
        <v>68</v>
      </c>
      <c r="F9" s="143" t="s">
        <v>69</v>
      </c>
      <c r="G9" s="143" t="s">
        <v>70</v>
      </c>
      <c r="H9" s="143" t="s">
        <v>67</v>
      </c>
      <c r="I9" s="143" t="s">
        <v>68</v>
      </c>
      <c r="J9" s="143" t="s">
        <v>69</v>
      </c>
      <c r="K9" s="143" t="s">
        <v>70</v>
      </c>
      <c r="L9" s="143" t="s">
        <v>67</v>
      </c>
      <c r="M9" s="143" t="s">
        <v>68</v>
      </c>
      <c r="N9" s="143" t="s">
        <v>69</v>
      </c>
      <c r="O9" s="143" t="s">
        <v>70</v>
      </c>
      <c r="P9" s="143" t="s">
        <v>67</v>
      </c>
      <c r="Q9" s="143" t="s">
        <v>68</v>
      </c>
      <c r="R9" s="143" t="s">
        <v>69</v>
      </c>
      <c r="S9" s="143" t="s">
        <v>70</v>
      </c>
    </row>
    <row r="10" spans="2:31" s="99" customFormat="1" x14ac:dyDescent="0.35">
      <c r="C10" s="155" t="s">
        <v>224</v>
      </c>
      <c r="D10" s="149">
        <v>1331796</v>
      </c>
      <c r="E10" s="149">
        <v>1875757</v>
      </c>
      <c r="F10" s="149">
        <v>2805998</v>
      </c>
      <c r="G10" s="149">
        <v>5548241</v>
      </c>
      <c r="H10" s="149">
        <v>1308435</v>
      </c>
      <c r="I10" s="149">
        <v>1712746</v>
      </c>
      <c r="J10" s="149">
        <v>2575553</v>
      </c>
      <c r="K10" s="149">
        <v>5519298</v>
      </c>
      <c r="L10" s="149">
        <v>1281555</v>
      </c>
      <c r="M10" s="149">
        <v>1536108</v>
      </c>
      <c r="N10" s="149">
        <v>2339698</v>
      </c>
      <c r="O10" s="149">
        <v>5426143</v>
      </c>
      <c r="P10" s="149">
        <v>1256223</v>
      </c>
      <c r="Q10" s="149">
        <v>1395039</v>
      </c>
      <c r="R10" s="149">
        <v>2137939</v>
      </c>
      <c r="S10" s="149">
        <v>5290709</v>
      </c>
    </row>
    <row r="11" spans="2:31" s="99" customFormat="1" x14ac:dyDescent="0.35">
      <c r="C11" s="155" t="s">
        <v>226</v>
      </c>
      <c r="D11" s="156">
        <f>D10/D12</f>
        <v>2.1059392789373814</v>
      </c>
      <c r="E11" s="156">
        <f>E10/E12</f>
        <v>2.2730937954435286</v>
      </c>
      <c r="F11" s="100">
        <v>2.17</v>
      </c>
      <c r="G11" s="100">
        <v>2.72</v>
      </c>
      <c r="H11" s="156">
        <f>D11</f>
        <v>2.1059392789373814</v>
      </c>
      <c r="I11" s="156">
        <f>E11</f>
        <v>2.2730937954435286</v>
      </c>
      <c r="J11" s="156">
        <f>F11</f>
        <v>2.17</v>
      </c>
      <c r="K11" s="156">
        <f>G11</f>
        <v>2.72</v>
      </c>
      <c r="L11" s="156">
        <f>D11</f>
        <v>2.1059392789373814</v>
      </c>
      <c r="M11" s="156">
        <f>E11</f>
        <v>2.2730937954435286</v>
      </c>
      <c r="N11" s="156">
        <f>F11</f>
        <v>2.17</v>
      </c>
      <c r="O11" s="156">
        <f>G11</f>
        <v>2.72</v>
      </c>
      <c r="P11" s="156">
        <f>D11</f>
        <v>2.1059392789373814</v>
      </c>
      <c r="Q11" s="156">
        <f>E11</f>
        <v>2.2730937954435286</v>
      </c>
      <c r="R11" s="156">
        <f>F11</f>
        <v>2.17</v>
      </c>
      <c r="S11" s="156">
        <f>G11</f>
        <v>2.72</v>
      </c>
    </row>
    <row r="12" spans="2:31" s="99" customFormat="1" x14ac:dyDescent="0.35">
      <c r="C12" s="155" t="s">
        <v>225</v>
      </c>
      <c r="D12" s="149">
        <v>632400</v>
      </c>
      <c r="E12" s="149">
        <v>825200</v>
      </c>
      <c r="F12" s="162"/>
      <c r="G12" s="162"/>
      <c r="H12" s="157">
        <f t="shared" ref="H12:S12" si="0">H10/H11</f>
        <v>621307.08757197042</v>
      </c>
      <c r="I12" s="157">
        <f t="shared" si="0"/>
        <v>753486.72519947949</v>
      </c>
      <c r="J12" s="157">
        <f t="shared" si="0"/>
        <v>1186890.7834101382</v>
      </c>
      <c r="K12" s="157">
        <f t="shared" si="0"/>
        <v>2029153.6764705882</v>
      </c>
      <c r="L12" s="157">
        <f t="shared" si="0"/>
        <v>608543.18679437391</v>
      </c>
      <c r="M12" s="157">
        <f t="shared" si="0"/>
        <v>675778.53719858173</v>
      </c>
      <c r="N12" s="157">
        <f t="shared" si="0"/>
        <v>1078201.8433179725</v>
      </c>
      <c r="O12" s="157">
        <f t="shared" si="0"/>
        <v>1994905.5147058822</v>
      </c>
      <c r="P12" s="157">
        <f t="shared" si="0"/>
        <v>596514.34994548711</v>
      </c>
      <c r="Q12" s="157">
        <f t="shared" si="0"/>
        <v>613718.18567117176</v>
      </c>
      <c r="R12" s="157">
        <f t="shared" si="0"/>
        <v>985225.34562211984</v>
      </c>
      <c r="S12" s="157">
        <f t="shared" si="0"/>
        <v>1945113.6029411764</v>
      </c>
    </row>
    <row r="14" spans="2:31" ht="15" thickBot="1" x14ac:dyDescent="0.4">
      <c r="C14" s="1" t="s">
        <v>245</v>
      </c>
      <c r="D14" s="1"/>
      <c r="E14" s="1"/>
      <c r="F14" s="1"/>
      <c r="G14" s="1"/>
      <c r="H14" s="1"/>
      <c r="I14" s="1"/>
      <c r="J14" s="1"/>
      <c r="K14" s="1"/>
      <c r="L14" s="1"/>
      <c r="M14" s="1"/>
      <c r="N14" s="1"/>
      <c r="O14" s="1"/>
      <c r="P14" s="1"/>
      <c r="Q14" s="1"/>
      <c r="R14" s="1"/>
      <c r="S14" s="1"/>
      <c r="T14" s="1"/>
      <c r="U14" s="1"/>
      <c r="V14" s="1"/>
      <c r="W14" s="1"/>
      <c r="X14" s="1"/>
      <c r="Y14" s="1"/>
      <c r="Z14" s="1"/>
      <c r="AA14" s="1"/>
    </row>
    <row r="16" spans="2:31" s="99" customFormat="1" ht="13.5" x14ac:dyDescent="0.35">
      <c r="D16" s="142" t="s">
        <v>67</v>
      </c>
      <c r="E16" s="142"/>
      <c r="F16" s="142"/>
      <c r="G16" s="142"/>
      <c r="H16" s="142"/>
      <c r="I16" s="142"/>
      <c r="J16" s="142"/>
      <c r="K16" s="142"/>
      <c r="L16" s="142"/>
      <c r="M16" s="142"/>
      <c r="N16" s="142"/>
      <c r="O16" s="142"/>
      <c r="P16" s="142"/>
      <c r="Q16" s="142"/>
      <c r="R16" s="142"/>
      <c r="S16" s="142"/>
    </row>
    <row r="18" spans="3:16" x14ac:dyDescent="0.35">
      <c r="C18" s="68" t="s">
        <v>259</v>
      </c>
    </row>
    <row r="20" spans="3:16" x14ac:dyDescent="0.35">
      <c r="C20" s="9"/>
      <c r="D20" s="9">
        <v>2005</v>
      </c>
      <c r="E20" s="9">
        <v>2010</v>
      </c>
      <c r="F20" s="9">
        <v>2015</v>
      </c>
      <c r="G20" s="9">
        <v>2020</v>
      </c>
      <c r="H20" s="9">
        <v>2025</v>
      </c>
      <c r="I20" s="9">
        <v>2030</v>
      </c>
      <c r="J20" s="9">
        <v>2035</v>
      </c>
      <c r="K20" s="9">
        <v>2040</v>
      </c>
      <c r="L20" s="9">
        <v>2045</v>
      </c>
      <c r="M20" s="9">
        <v>2050</v>
      </c>
      <c r="N20" s="9" t="s">
        <v>211</v>
      </c>
      <c r="O20" s="9" t="s">
        <v>212</v>
      </c>
      <c r="P20" s="9" t="s">
        <v>213</v>
      </c>
    </row>
    <row r="21" spans="3:16" x14ac:dyDescent="0.35">
      <c r="C21" s="68" t="s">
        <v>151</v>
      </c>
      <c r="D21" s="118">
        <v>2828.5460284377432</v>
      </c>
      <c r="E21" s="118">
        <v>2868.9992225593955</v>
      </c>
      <c r="F21" s="118">
        <v>2779.8065506562571</v>
      </c>
      <c r="G21" s="118">
        <v>2709.3751323272941</v>
      </c>
      <c r="H21" s="118">
        <v>2832.0837318185299</v>
      </c>
      <c r="I21" s="118">
        <v>2837.1995128846556</v>
      </c>
      <c r="J21" s="118">
        <v>2774.0010091522158</v>
      </c>
      <c r="K21" s="118">
        <v>2732.3496359156165</v>
      </c>
      <c r="L21" s="118">
        <v>2685.7220451393791</v>
      </c>
      <c r="M21" s="118">
        <v>2635.6571699436995</v>
      </c>
      <c r="N21" s="158">
        <f>(I21-G21)/G21</f>
        <v>4.7178546459737826E-2</v>
      </c>
      <c r="O21" s="158">
        <f>(K21-I21)/I21</f>
        <v>-3.6955412015574278E-2</v>
      </c>
      <c r="P21" s="158">
        <f>(M21-K21)/K21</f>
        <v>-3.538802820141837E-2</v>
      </c>
    </row>
    <row r="22" spans="3:16" x14ac:dyDescent="0.35">
      <c r="C22" s="106" t="s">
        <v>160</v>
      </c>
      <c r="D22" s="107">
        <v>117.46400000000001</v>
      </c>
      <c r="E22" s="107">
        <v>82.433000000000007</v>
      </c>
      <c r="F22" s="107">
        <v>32.215999999999994</v>
      </c>
      <c r="G22" s="107">
        <v>35.109467596757682</v>
      </c>
      <c r="H22" s="107">
        <v>40.341628487342192</v>
      </c>
      <c r="I22" s="107">
        <v>38.818401029170531</v>
      </c>
      <c r="J22" s="107">
        <v>30.462032832522354</v>
      </c>
      <c r="K22" s="107">
        <v>21.062587363888017</v>
      </c>
      <c r="L22" s="107">
        <v>14.989475980492116</v>
      </c>
      <c r="M22" s="107">
        <v>6.5954458122831259</v>
      </c>
      <c r="N22" s="158">
        <f t="shared" ref="N22:N30" si="1">(I22-G22)/G22</f>
        <v>0.10563912489391791</v>
      </c>
      <c r="O22" s="158">
        <f t="shared" ref="O22:O31" si="2">(K22-I22)/I22</f>
        <v>-0.45740713668086702</v>
      </c>
      <c r="P22" s="158">
        <f t="shared" ref="P22:P31" si="3">(M22-K22)/K22</f>
        <v>-0.68686440567168527</v>
      </c>
    </row>
    <row r="23" spans="3:16" x14ac:dyDescent="0.35">
      <c r="C23" s="106" t="s">
        <v>161</v>
      </c>
      <c r="D23" s="107">
        <v>933.77502844951334</v>
      </c>
      <c r="E23" s="107">
        <v>903.45660660974318</v>
      </c>
      <c r="F23" s="107">
        <v>960.01873413738724</v>
      </c>
      <c r="G23" s="107">
        <v>869.81219664627213</v>
      </c>
      <c r="H23" s="107">
        <v>889.40403388485504</v>
      </c>
      <c r="I23" s="107">
        <v>837.7563542463887</v>
      </c>
      <c r="J23" s="107">
        <v>760.7139933286403</v>
      </c>
      <c r="K23" s="107">
        <v>716.55182947772335</v>
      </c>
      <c r="L23" s="107">
        <v>668.67302151431215</v>
      </c>
      <c r="M23" s="107">
        <v>614.96060184046905</v>
      </c>
      <c r="N23" s="158">
        <f t="shared" si="1"/>
        <v>-3.6853751331012471E-2</v>
      </c>
      <c r="O23" s="158">
        <f t="shared" si="2"/>
        <v>-0.14467753560364932</v>
      </c>
      <c r="P23" s="158">
        <f t="shared" si="3"/>
        <v>-0.14177791955580044</v>
      </c>
    </row>
    <row r="24" spans="3:16" x14ac:dyDescent="0.35">
      <c r="C24" s="106" t="s">
        <v>162</v>
      </c>
      <c r="D24" s="107">
        <v>263.26299999999998</v>
      </c>
      <c r="E24" s="107">
        <v>207.02970486015221</v>
      </c>
      <c r="F24" s="107">
        <v>222.41917161635843</v>
      </c>
      <c r="G24" s="107">
        <v>226.30306027154003</v>
      </c>
      <c r="H24" s="107">
        <v>223.47222691187773</v>
      </c>
      <c r="I24" s="107">
        <v>207.97279846564425</v>
      </c>
      <c r="J24" s="107">
        <v>201.72584044380508</v>
      </c>
      <c r="K24" s="107">
        <v>207.87550282994283</v>
      </c>
      <c r="L24" s="107">
        <v>208.79388703430666</v>
      </c>
      <c r="M24" s="107">
        <v>206.39997148711575</v>
      </c>
      <c r="N24" s="158">
        <f t="shared" si="1"/>
        <v>-8.0998735871717284E-2</v>
      </c>
      <c r="O24" s="158">
        <f>(K24-I24)/I24</f>
        <v>-4.6782866037880762E-4</v>
      </c>
      <c r="P24" s="158">
        <f>(M24-K24)/K24</f>
        <v>-7.0981492419247378E-3</v>
      </c>
    </row>
    <row r="25" spans="3:16" x14ac:dyDescent="0.35">
      <c r="C25" s="106" t="s">
        <v>163</v>
      </c>
      <c r="D25" s="107">
        <v>519.34699998825499</v>
      </c>
      <c r="E25" s="107">
        <v>593.98309375878091</v>
      </c>
      <c r="F25" s="107">
        <v>589.16634431420823</v>
      </c>
      <c r="G25" s="107">
        <v>551.24587667737967</v>
      </c>
      <c r="H25" s="107">
        <v>702.68819396575429</v>
      </c>
      <c r="I25" s="107">
        <v>773.09087981282062</v>
      </c>
      <c r="J25" s="107">
        <v>825.19770335297346</v>
      </c>
      <c r="K25" s="107">
        <v>865.60140301289493</v>
      </c>
      <c r="L25" s="107">
        <v>902.38081006536163</v>
      </c>
      <c r="M25" s="107">
        <v>937.76035591682603</v>
      </c>
      <c r="N25" s="158">
        <f t="shared" si="1"/>
        <v>0.402442925238019</v>
      </c>
      <c r="O25" s="158">
        <f t="shared" si="2"/>
        <v>0.11966319305496502</v>
      </c>
      <c r="P25" s="158">
        <f t="shared" si="3"/>
        <v>8.3362795684905025E-2</v>
      </c>
    </row>
    <row r="26" spans="3:16" x14ac:dyDescent="0.35">
      <c r="C26" s="106" t="s">
        <v>164</v>
      </c>
      <c r="D26" s="107">
        <v>547.41099999997448</v>
      </c>
      <c r="E26" s="107">
        <v>531.52800000000002</v>
      </c>
      <c r="F26" s="107">
        <v>430.61499999998171</v>
      </c>
      <c r="G26" s="107">
        <v>453.63897612325707</v>
      </c>
      <c r="H26" s="107">
        <v>397.08985179158282</v>
      </c>
      <c r="I26" s="107">
        <v>373.67795111337739</v>
      </c>
      <c r="J26" s="107">
        <v>361.63416552526269</v>
      </c>
      <c r="K26" s="107">
        <v>354.89062370867475</v>
      </c>
      <c r="L26" s="107">
        <v>339.53728630378072</v>
      </c>
      <c r="M26" s="107">
        <v>337.43646915479269</v>
      </c>
      <c r="N26" s="158">
        <f t="shared" si="1"/>
        <v>-0.17626577348625722</v>
      </c>
      <c r="O26" s="158">
        <f t="shared" si="2"/>
        <v>-5.0276788739409425E-2</v>
      </c>
      <c r="P26" s="158">
        <f t="shared" si="3"/>
        <v>-4.9181785563909286E-2</v>
      </c>
    </row>
    <row r="27" spans="3:16" x14ac:dyDescent="0.35">
      <c r="C27" s="106" t="s">
        <v>165</v>
      </c>
      <c r="D27" s="107">
        <v>447.286</v>
      </c>
      <c r="E27" s="107">
        <v>550.56881733071918</v>
      </c>
      <c r="F27" s="107">
        <v>545.37130058832167</v>
      </c>
      <c r="G27" s="107">
        <v>573.2561792548795</v>
      </c>
      <c r="H27" s="107">
        <v>579.0109371971248</v>
      </c>
      <c r="I27" s="107">
        <v>605.30214575714854</v>
      </c>
      <c r="J27" s="107">
        <v>591.54663622843407</v>
      </c>
      <c r="K27" s="107">
        <v>559.48804571928542</v>
      </c>
      <c r="L27" s="107">
        <v>540.58531506818736</v>
      </c>
      <c r="M27" s="107">
        <v>517.82022329302265</v>
      </c>
      <c r="N27" s="158">
        <f t="shared" si="1"/>
        <v>5.5901650364977323E-2</v>
      </c>
      <c r="O27" s="158">
        <f t="shared" si="2"/>
        <v>-7.5687985511031133E-2</v>
      </c>
      <c r="P27" s="158">
        <f t="shared" si="3"/>
        <v>-7.4474911028159785E-2</v>
      </c>
    </row>
    <row r="28" spans="3:16" x14ac:dyDescent="0.35">
      <c r="C28" s="117" t="s">
        <v>166</v>
      </c>
      <c r="D28" s="116">
        <v>447.286</v>
      </c>
      <c r="E28" s="116">
        <v>550.56881733071918</v>
      </c>
      <c r="F28" s="116">
        <v>496.82174515975021</v>
      </c>
      <c r="G28" s="116">
        <v>516.28694215950316</v>
      </c>
      <c r="H28" s="116">
        <v>543.77009826919004</v>
      </c>
      <c r="I28" s="116">
        <v>570.87185903702152</v>
      </c>
      <c r="J28" s="116">
        <v>568.82249118362631</v>
      </c>
      <c r="K28" s="116">
        <v>535.6767372474493</v>
      </c>
      <c r="L28" s="116">
        <v>515.46630058187907</v>
      </c>
      <c r="M28" s="116">
        <v>490.96112937298687</v>
      </c>
      <c r="N28" s="158">
        <f t="shared" si="1"/>
        <v>0.10572592955615513</v>
      </c>
      <c r="O28" s="158">
        <f t="shared" si="2"/>
        <v>-6.1651526927498791E-2</v>
      </c>
      <c r="P28" s="158">
        <f t="shared" si="3"/>
        <v>-8.3474985500082657E-2</v>
      </c>
    </row>
    <row r="29" spans="3:16" x14ac:dyDescent="0.35">
      <c r="C29" s="117" t="s">
        <v>167</v>
      </c>
      <c r="D29" s="116">
        <v>0</v>
      </c>
      <c r="E29" s="116">
        <v>0</v>
      </c>
      <c r="F29" s="116">
        <v>0</v>
      </c>
      <c r="G29" s="116">
        <v>3.2450029462996868E-2</v>
      </c>
      <c r="H29" s="116">
        <v>0.57029670321436476</v>
      </c>
      <c r="I29" s="116">
        <v>1.588046384251991</v>
      </c>
      <c r="J29" s="116">
        <v>3.0481636646800556</v>
      </c>
      <c r="K29" s="116">
        <v>4.240881397910047</v>
      </c>
      <c r="L29" s="116">
        <v>5.9459157484122258</v>
      </c>
      <c r="M29" s="116">
        <v>6.4526917122198473</v>
      </c>
      <c r="N29" s="158">
        <f t="shared" si="1"/>
        <v>47.938210859341687</v>
      </c>
      <c r="O29" s="158">
        <f t="shared" si="2"/>
        <v>1.6705022220793675</v>
      </c>
      <c r="P29" s="158">
        <f t="shared" si="3"/>
        <v>0.52154495888515173</v>
      </c>
    </row>
    <row r="30" spans="3:16" x14ac:dyDescent="0.35">
      <c r="C30" s="117" t="s">
        <v>169</v>
      </c>
      <c r="D30" s="116">
        <v>0</v>
      </c>
      <c r="E30" s="116">
        <v>0</v>
      </c>
      <c r="F30" s="116">
        <v>48.549555428571438</v>
      </c>
      <c r="G30" s="116">
        <v>56.936787065913308</v>
      </c>
      <c r="H30" s="116">
        <v>34.670542224720407</v>
      </c>
      <c r="I30" s="116">
        <v>32.842240335875012</v>
      </c>
      <c r="J30" s="116">
        <v>19.675981380127674</v>
      </c>
      <c r="K30" s="116">
        <v>19.570427073926158</v>
      </c>
      <c r="L30" s="116">
        <v>19.17309873789614</v>
      </c>
      <c r="M30" s="116">
        <v>20.406402207815866</v>
      </c>
      <c r="N30" s="158">
        <f t="shared" si="1"/>
        <v>-0.42318065299584007</v>
      </c>
      <c r="O30" s="158">
        <f t="shared" si="2"/>
        <v>-0.40410803666921202</v>
      </c>
      <c r="P30" s="158">
        <f t="shared" si="3"/>
        <v>4.2716243786191273E-2</v>
      </c>
    </row>
    <row r="31" spans="3:16" x14ac:dyDescent="0.35">
      <c r="C31" s="106" t="s">
        <v>170</v>
      </c>
      <c r="D31" s="107">
        <v>0</v>
      </c>
      <c r="E31" s="107">
        <v>0</v>
      </c>
      <c r="F31" s="107">
        <v>0</v>
      </c>
      <c r="G31" s="107">
        <v>9.3757572078861894E-3</v>
      </c>
      <c r="H31" s="107">
        <v>7.6859579993737159E-2</v>
      </c>
      <c r="I31" s="107">
        <v>0.58098246010531684</v>
      </c>
      <c r="J31" s="107">
        <v>2.7206374405778493</v>
      </c>
      <c r="K31" s="107">
        <v>6.8796438032073217</v>
      </c>
      <c r="L31" s="107">
        <v>10.762249172937528</v>
      </c>
      <c r="M31" s="107">
        <v>14.684102439190442</v>
      </c>
      <c r="N31" s="158">
        <f>(I31-G31)/G31</f>
        <v>60.966457452272508</v>
      </c>
      <c r="O31" s="158">
        <f t="shared" si="2"/>
        <v>10.841396729877564</v>
      </c>
      <c r="P31" s="158">
        <f t="shared" si="3"/>
        <v>1.1344277202759603</v>
      </c>
    </row>
    <row r="32" spans="3:16" x14ac:dyDescent="0.35">
      <c r="C32" s="106" t="s">
        <v>171</v>
      </c>
      <c r="D32" s="107">
        <v>0</v>
      </c>
      <c r="E32" s="107">
        <v>0</v>
      </c>
      <c r="F32" s="107">
        <v>0</v>
      </c>
      <c r="G32" s="107">
        <v>0</v>
      </c>
      <c r="H32" s="107">
        <v>0</v>
      </c>
      <c r="I32" s="107">
        <v>0</v>
      </c>
      <c r="J32" s="107">
        <v>0</v>
      </c>
      <c r="K32" s="107">
        <v>0</v>
      </c>
      <c r="L32" s="107">
        <v>0</v>
      </c>
      <c r="M32" s="107">
        <v>0</v>
      </c>
      <c r="N32" s="158">
        <v>0</v>
      </c>
      <c r="O32" s="158">
        <v>0</v>
      </c>
      <c r="P32" s="158">
        <v>0</v>
      </c>
    </row>
    <row r="34" spans="3:18" x14ac:dyDescent="0.35">
      <c r="C34" s="68" t="s">
        <v>260</v>
      </c>
    </row>
    <row r="36" spans="3:18" x14ac:dyDescent="0.35">
      <c r="C36" s="9"/>
      <c r="D36" s="9">
        <v>2010</v>
      </c>
      <c r="E36" s="9">
        <v>2011</v>
      </c>
      <c r="F36" s="9">
        <v>2012</v>
      </c>
      <c r="G36" s="9">
        <v>2013</v>
      </c>
      <c r="H36" s="9">
        <v>2014</v>
      </c>
      <c r="I36" s="9">
        <v>2015</v>
      </c>
      <c r="J36" s="9">
        <v>2016</v>
      </c>
      <c r="K36" s="9">
        <v>2017</v>
      </c>
      <c r="L36" s="9">
        <v>2018</v>
      </c>
      <c r="M36" s="9">
        <v>2019</v>
      </c>
      <c r="N36" s="9">
        <v>2020</v>
      </c>
      <c r="O36" s="9">
        <v>2021</v>
      </c>
      <c r="P36" s="9">
        <v>2030</v>
      </c>
      <c r="Q36" s="9">
        <v>2040</v>
      </c>
      <c r="R36" s="9">
        <v>2050</v>
      </c>
    </row>
    <row r="37" spans="3:18" x14ac:dyDescent="0.35">
      <c r="C37" s="68" t="s">
        <v>151</v>
      </c>
      <c r="D37" s="118">
        <v>1026.8489999999999</v>
      </c>
      <c r="E37" s="118">
        <v>935.25300000000004</v>
      </c>
      <c r="F37" s="118">
        <v>970.82799999999997</v>
      </c>
      <c r="G37" s="118">
        <v>933.50599999999997</v>
      </c>
      <c r="H37" s="118">
        <v>888.14300000000003</v>
      </c>
      <c r="I37" s="118">
        <v>857.43499999999995</v>
      </c>
      <c r="J37" s="118">
        <v>930.57799999999997</v>
      </c>
      <c r="K37" s="118">
        <v>940.91399999999999</v>
      </c>
      <c r="L37" s="118">
        <v>941.03</v>
      </c>
      <c r="M37" s="118">
        <v>951.32799999999997</v>
      </c>
      <c r="N37" s="118">
        <v>944.66399999999999</v>
      </c>
      <c r="O37" s="118">
        <v>965.20100000000002</v>
      </c>
      <c r="P37" s="161"/>
      <c r="Q37" s="161"/>
      <c r="R37" s="161"/>
    </row>
    <row r="38" spans="3:18" x14ac:dyDescent="0.35">
      <c r="C38" s="68" t="s">
        <v>151</v>
      </c>
      <c r="D38" s="159">
        <f>SUM(D39:D48)</f>
        <v>1023.4090000000001</v>
      </c>
      <c r="E38" s="159">
        <f t="shared" ref="E38:O38" si="4">SUM(E39:E48)</f>
        <v>931.05000000000007</v>
      </c>
      <c r="F38" s="159">
        <f t="shared" si="4"/>
        <v>966.83500000000004</v>
      </c>
      <c r="G38" s="159">
        <f t="shared" si="4"/>
        <v>929.51299999999992</v>
      </c>
      <c r="H38" s="159">
        <f t="shared" si="4"/>
        <v>884.51199999999994</v>
      </c>
      <c r="I38" s="159">
        <f t="shared" si="4"/>
        <v>854.89300000000003</v>
      </c>
      <c r="J38" s="159">
        <f t="shared" si="4"/>
        <v>930.57799999999997</v>
      </c>
      <c r="K38" s="159">
        <f t="shared" si="4"/>
        <v>940.91499999999985</v>
      </c>
      <c r="L38" s="159">
        <f t="shared" si="4"/>
        <v>941.03</v>
      </c>
      <c r="M38" s="159">
        <f t="shared" si="4"/>
        <v>951.32799999999997</v>
      </c>
      <c r="N38" s="159">
        <f t="shared" si="4"/>
        <v>944.6629999999999</v>
      </c>
      <c r="O38" s="159">
        <f t="shared" si="4"/>
        <v>965.202</v>
      </c>
      <c r="P38" s="161"/>
      <c r="Q38" s="161"/>
      <c r="R38" s="161"/>
    </row>
    <row r="39" spans="3:18" x14ac:dyDescent="0.35">
      <c r="C39" s="105" t="s">
        <v>140</v>
      </c>
      <c r="D39" s="118">
        <v>54.901000000000003</v>
      </c>
      <c r="E39" s="118">
        <v>51.677</v>
      </c>
      <c r="F39" s="118">
        <v>55.331000000000003</v>
      </c>
      <c r="G39" s="118">
        <v>52.279000000000003</v>
      </c>
      <c r="H39" s="118">
        <v>52.213999999999999</v>
      </c>
      <c r="I39" s="118">
        <v>49.311999999999998</v>
      </c>
      <c r="J39" s="118">
        <v>57.868000000000002</v>
      </c>
      <c r="K39" s="118">
        <v>53.814</v>
      </c>
      <c r="L39" s="118">
        <v>54.969000000000001</v>
      </c>
      <c r="M39" s="118">
        <v>57.758000000000003</v>
      </c>
      <c r="N39" s="118">
        <v>56.167000000000002</v>
      </c>
      <c r="O39" s="118">
        <v>60.302999999999997</v>
      </c>
      <c r="P39" s="159">
        <f>O39*(1+N24)</f>
        <v>55.418533230727832</v>
      </c>
      <c r="Q39" s="159">
        <f>P39*(1+O24)</f>
        <v>55.392606852566345</v>
      </c>
      <c r="R39" s="159">
        <f>Q39*(1+P24)</f>
        <v>54.999421862227564</v>
      </c>
    </row>
    <row r="40" spans="3:18" x14ac:dyDescent="0.35">
      <c r="C40" s="105" t="s">
        <v>163</v>
      </c>
      <c r="D40" s="118">
        <v>173.947</v>
      </c>
      <c r="E40" s="118">
        <v>166.29400000000001</v>
      </c>
      <c r="F40" s="118">
        <v>168.18600000000001</v>
      </c>
      <c r="G40" s="118">
        <v>160.36099999999999</v>
      </c>
      <c r="H40" s="118">
        <v>149.52699999999999</v>
      </c>
      <c r="I40" s="118">
        <v>148.58099999999999</v>
      </c>
      <c r="J40" s="118">
        <v>164.488</v>
      </c>
      <c r="K40" s="118">
        <v>166.81</v>
      </c>
      <c r="L40" s="118">
        <v>159.93100000000001</v>
      </c>
      <c r="M40" s="118">
        <v>177.988</v>
      </c>
      <c r="N40" s="118">
        <v>171.797</v>
      </c>
      <c r="O40" s="118">
        <v>191.66</v>
      </c>
      <c r="P40" s="161"/>
      <c r="Q40" s="161"/>
      <c r="R40" s="161"/>
    </row>
    <row r="41" spans="3:18" x14ac:dyDescent="0.35">
      <c r="C41" s="105" t="s">
        <v>204</v>
      </c>
      <c r="D41" s="118">
        <v>423.42599999999999</v>
      </c>
      <c r="E41" s="118">
        <v>364.55</v>
      </c>
      <c r="F41" s="118">
        <v>389.24700000000001</v>
      </c>
      <c r="G41" s="118">
        <v>373.65100000000001</v>
      </c>
      <c r="H41" s="118">
        <v>371.47699999999998</v>
      </c>
      <c r="I41" s="118">
        <v>361.44499999999999</v>
      </c>
      <c r="J41" s="118">
        <v>383.77800000000002</v>
      </c>
      <c r="K41" s="118">
        <v>390.41800000000001</v>
      </c>
      <c r="L41" s="118">
        <v>394.096</v>
      </c>
      <c r="M41" s="118">
        <v>378.38</v>
      </c>
      <c r="N41" s="118">
        <v>396.48399999999998</v>
      </c>
      <c r="O41" s="118">
        <v>387.88400000000001</v>
      </c>
      <c r="P41" s="161"/>
      <c r="Q41" s="161"/>
      <c r="R41" s="161"/>
    </row>
    <row r="42" spans="3:18" x14ac:dyDescent="0.35">
      <c r="C42" s="105" t="s">
        <v>205</v>
      </c>
      <c r="D42" s="118">
        <v>4.0410000000000004</v>
      </c>
      <c r="E42" s="118">
        <v>5.0519999999999996</v>
      </c>
      <c r="F42" s="118">
        <v>5.0519999999999996</v>
      </c>
      <c r="G42" s="118">
        <v>4.0410000000000004</v>
      </c>
      <c r="H42" s="118">
        <v>4.0410000000000004</v>
      </c>
      <c r="I42" s="118">
        <v>4.0410000000000004</v>
      </c>
      <c r="J42" s="118">
        <v>3.0310000000000001</v>
      </c>
      <c r="K42" s="118">
        <v>2.0209999999999999</v>
      </c>
      <c r="L42" s="118">
        <v>2.0209999999999999</v>
      </c>
      <c r="M42" s="118">
        <v>2.0209999999999999</v>
      </c>
      <c r="N42" s="118">
        <v>2.0209999999999999</v>
      </c>
      <c r="O42" s="118">
        <v>1.01</v>
      </c>
      <c r="P42" s="161"/>
      <c r="Q42" s="161"/>
      <c r="R42" s="161"/>
    </row>
    <row r="43" spans="3:18" x14ac:dyDescent="0.35">
      <c r="C43" s="105" t="s">
        <v>206</v>
      </c>
      <c r="D43" s="118">
        <v>357.6</v>
      </c>
      <c r="E43" s="118">
        <v>332.66500000000002</v>
      </c>
      <c r="F43" s="118">
        <v>339.90199999999999</v>
      </c>
      <c r="G43" s="118">
        <v>330.08499999999998</v>
      </c>
      <c r="H43" s="118">
        <v>298.36599999999999</v>
      </c>
      <c r="I43" s="118">
        <v>283.48599999999999</v>
      </c>
      <c r="J43" s="118">
        <v>311.86099999999999</v>
      </c>
      <c r="K43" s="118">
        <v>318.14299999999997</v>
      </c>
      <c r="L43" s="118">
        <v>322.44200000000001</v>
      </c>
      <c r="M43" s="118">
        <v>326.74099999999999</v>
      </c>
      <c r="N43" s="118">
        <v>312.88799999999998</v>
      </c>
      <c r="O43" s="118">
        <v>320.05399999999997</v>
      </c>
      <c r="P43" s="161"/>
      <c r="Q43" s="161"/>
      <c r="R43" s="161"/>
    </row>
    <row r="44" spans="3:18" x14ac:dyDescent="0.35">
      <c r="C44" s="105" t="s">
        <v>160</v>
      </c>
      <c r="D44" s="118">
        <v>5.19</v>
      </c>
      <c r="E44" s="118">
        <v>6.508</v>
      </c>
      <c r="F44" s="118">
        <v>5.8570000000000002</v>
      </c>
      <c r="G44" s="118">
        <v>5.8360000000000003</v>
      </c>
      <c r="H44" s="118">
        <v>4.54</v>
      </c>
      <c r="I44" s="118">
        <v>2.5939999999999999</v>
      </c>
      <c r="J44" s="118">
        <v>1.9450000000000001</v>
      </c>
      <c r="K44" s="118">
        <v>2.1019999999999999</v>
      </c>
      <c r="L44" s="118">
        <v>1.0509999999999999</v>
      </c>
      <c r="M44" s="118">
        <v>1.1910000000000001</v>
      </c>
      <c r="N44" s="118">
        <v>0.95899999999999996</v>
      </c>
      <c r="O44" s="118">
        <v>0.59599999999999997</v>
      </c>
      <c r="P44" s="161"/>
      <c r="Q44" s="161"/>
      <c r="R44" s="161"/>
    </row>
    <row r="45" spans="3:18" x14ac:dyDescent="0.35">
      <c r="C45" s="105" t="s">
        <v>207</v>
      </c>
      <c r="D45" s="118">
        <v>4.3040000000000003</v>
      </c>
      <c r="E45" s="118">
        <v>4.3040000000000003</v>
      </c>
      <c r="F45" s="118">
        <v>3.26</v>
      </c>
      <c r="G45" s="118">
        <v>3.26</v>
      </c>
      <c r="H45" s="118">
        <v>4.3470000000000004</v>
      </c>
      <c r="I45" s="118">
        <v>5.4340000000000002</v>
      </c>
      <c r="J45" s="118">
        <v>7.6070000000000002</v>
      </c>
      <c r="K45" s="118">
        <v>7.6070000000000002</v>
      </c>
      <c r="L45" s="118">
        <v>6.52</v>
      </c>
      <c r="M45" s="118">
        <v>7.2489999999999997</v>
      </c>
      <c r="N45" s="118">
        <v>4.3470000000000004</v>
      </c>
      <c r="O45" s="118">
        <v>3.6949999999999998</v>
      </c>
      <c r="P45" s="161"/>
      <c r="Q45" s="161"/>
      <c r="R45" s="161"/>
    </row>
    <row r="46" spans="3:18" x14ac:dyDescent="0.35">
      <c r="C46" s="105" t="s">
        <v>210</v>
      </c>
      <c r="D46" s="118">
        <v>0</v>
      </c>
      <c r="E46" s="118">
        <v>0</v>
      </c>
      <c r="F46" s="118">
        <v>0</v>
      </c>
      <c r="G46" s="118">
        <v>0</v>
      </c>
      <c r="H46" s="118">
        <v>0</v>
      </c>
      <c r="I46" s="118">
        <v>0</v>
      </c>
      <c r="J46" s="118">
        <v>0</v>
      </c>
      <c r="K46" s="118">
        <v>0</v>
      </c>
      <c r="L46" s="118">
        <v>0</v>
      </c>
      <c r="M46" s="118">
        <v>0</v>
      </c>
      <c r="N46" s="118">
        <v>0</v>
      </c>
      <c r="O46" s="118">
        <v>0</v>
      </c>
      <c r="P46" s="161"/>
      <c r="Q46" s="161"/>
      <c r="R46" s="161"/>
    </row>
    <row r="47" spans="3:18" x14ac:dyDescent="0.35">
      <c r="C47" s="105" t="s">
        <v>208</v>
      </c>
      <c r="D47" s="118">
        <v>0</v>
      </c>
      <c r="E47" s="118">
        <v>0</v>
      </c>
      <c r="F47" s="118">
        <v>0</v>
      </c>
      <c r="G47" s="118">
        <v>0</v>
      </c>
      <c r="H47" s="118">
        <v>0</v>
      </c>
      <c r="I47" s="118">
        <v>0</v>
      </c>
      <c r="J47" s="118">
        <v>0</v>
      </c>
      <c r="K47" s="118">
        <v>0</v>
      </c>
      <c r="L47" s="118">
        <v>0</v>
      </c>
      <c r="M47" s="118">
        <v>0</v>
      </c>
      <c r="N47" s="118">
        <v>0</v>
      </c>
      <c r="O47" s="118">
        <v>0</v>
      </c>
      <c r="P47" s="161"/>
      <c r="Q47" s="161"/>
      <c r="R47" s="161"/>
    </row>
    <row r="48" spans="3:18" x14ac:dyDescent="0.35">
      <c r="C48" s="105" t="s">
        <v>209</v>
      </c>
      <c r="D48" s="118">
        <v>0</v>
      </c>
      <c r="E48" s="118">
        <v>0</v>
      </c>
      <c r="F48" s="118">
        <v>0</v>
      </c>
      <c r="G48" s="118">
        <v>0</v>
      </c>
      <c r="H48" s="118">
        <v>0</v>
      </c>
      <c r="I48" s="118">
        <v>0</v>
      </c>
      <c r="J48" s="118">
        <v>0</v>
      </c>
      <c r="K48" s="118">
        <v>0</v>
      </c>
      <c r="L48" s="118">
        <v>0</v>
      </c>
      <c r="M48" s="118">
        <v>0</v>
      </c>
      <c r="N48" s="118">
        <v>0</v>
      </c>
      <c r="O48" s="118">
        <v>0</v>
      </c>
      <c r="P48" s="161"/>
      <c r="Q48" s="161"/>
      <c r="R48" s="161"/>
    </row>
    <row r="49" spans="3:19" x14ac:dyDescent="0.35">
      <c r="C49" s="105"/>
      <c r="D49" s="118"/>
      <c r="E49" s="118"/>
      <c r="F49" s="118"/>
      <c r="G49" s="118"/>
      <c r="H49" s="118"/>
      <c r="I49" s="118"/>
      <c r="J49" s="118"/>
      <c r="K49" s="118"/>
      <c r="L49" s="118"/>
      <c r="M49" s="118"/>
      <c r="N49" s="118"/>
      <c r="O49" s="118"/>
      <c r="P49" s="161"/>
      <c r="Q49" s="161"/>
      <c r="R49" s="161"/>
    </row>
    <row r="51" spans="3:19" s="99" customFormat="1" ht="13.5" x14ac:dyDescent="0.35">
      <c r="D51" s="142" t="s">
        <v>69</v>
      </c>
      <c r="E51" s="142"/>
      <c r="F51" s="142"/>
      <c r="G51" s="142"/>
      <c r="H51" s="142"/>
      <c r="I51" s="142"/>
      <c r="J51" s="142"/>
      <c r="K51" s="142"/>
      <c r="L51" s="142"/>
      <c r="M51" s="142"/>
      <c r="N51" s="142"/>
      <c r="O51" s="142"/>
      <c r="P51" s="142"/>
      <c r="Q51" s="142"/>
      <c r="R51" s="142"/>
      <c r="S51" s="142"/>
    </row>
    <row r="53" spans="3:19" x14ac:dyDescent="0.35">
      <c r="C53" s="68" t="s">
        <v>259</v>
      </c>
    </row>
    <row r="55" spans="3:19" x14ac:dyDescent="0.35">
      <c r="C55" s="9"/>
      <c r="D55" s="9">
        <v>2005</v>
      </c>
      <c r="E55" s="9">
        <v>2010</v>
      </c>
      <c r="F55" s="9">
        <v>2015</v>
      </c>
      <c r="G55" s="9">
        <v>2020</v>
      </c>
      <c r="H55" s="9">
        <v>2025</v>
      </c>
      <c r="I55" s="9">
        <v>2030</v>
      </c>
      <c r="J55" s="9">
        <v>2035</v>
      </c>
      <c r="K55" s="9">
        <v>2040</v>
      </c>
      <c r="L55" s="9">
        <v>2045</v>
      </c>
      <c r="M55" s="9">
        <v>2050</v>
      </c>
      <c r="N55" s="9" t="s">
        <v>211</v>
      </c>
      <c r="O55" s="9" t="s">
        <v>212</v>
      </c>
      <c r="P55" s="9" t="s">
        <v>213</v>
      </c>
    </row>
    <row r="56" spans="3:19" x14ac:dyDescent="0.35">
      <c r="C56" s="68" t="s">
        <v>151</v>
      </c>
      <c r="D56" s="118">
        <v>4622.4078564164502</v>
      </c>
      <c r="E56" s="118">
        <v>4757.2576611428203</v>
      </c>
      <c r="F56" s="118">
        <v>4776.5059304845699</v>
      </c>
      <c r="G56" s="118">
        <v>4827.6838863962421</v>
      </c>
      <c r="H56" s="118">
        <v>4993.4561024037084</v>
      </c>
      <c r="I56" s="118">
        <v>4714.9920768672173</v>
      </c>
      <c r="J56" s="118">
        <v>4464.3035683809085</v>
      </c>
      <c r="K56" s="118">
        <v>4346.7890351419028</v>
      </c>
      <c r="L56" s="118">
        <v>4258.7203180297156</v>
      </c>
      <c r="M56" s="118">
        <v>4220.6082834167009</v>
      </c>
      <c r="N56" s="158">
        <f>(I56-G56)/G56</f>
        <v>-2.3342831092685049E-2</v>
      </c>
      <c r="O56" s="158">
        <f>(K56-I56)/I56</f>
        <v>-7.8091974646532114E-2</v>
      </c>
      <c r="P56" s="158">
        <f>(M56-K56)/K56</f>
        <v>-2.9028496829518347E-2</v>
      </c>
    </row>
    <row r="57" spans="3:19" x14ac:dyDescent="0.35">
      <c r="C57" s="106" t="s">
        <v>160</v>
      </c>
      <c r="D57" s="107">
        <v>173.85199999999998</v>
      </c>
      <c r="E57" s="107">
        <v>199.20199999999997</v>
      </c>
      <c r="F57" s="107">
        <v>171.00899999999996</v>
      </c>
      <c r="G57" s="107">
        <v>177.31249568428461</v>
      </c>
      <c r="H57" s="107">
        <v>154.22103187628608</v>
      </c>
      <c r="I57" s="107">
        <v>108.05724280840788</v>
      </c>
      <c r="J57" s="107">
        <v>57.808777420109998</v>
      </c>
      <c r="K57" s="107">
        <v>26.857950604749991</v>
      </c>
      <c r="L57" s="107">
        <v>10.752275322369549</v>
      </c>
      <c r="M57" s="107">
        <v>7.4570043096667575</v>
      </c>
      <c r="N57" s="158">
        <f t="shared" ref="N57:N65" si="5">(I57-G57)/G57</f>
        <v>-0.39058303594795601</v>
      </c>
      <c r="O57" s="158">
        <f t="shared" ref="O57:O58" si="6">(K57-I57)/I57</f>
        <v>-0.75144701172534278</v>
      </c>
      <c r="P57" s="158">
        <f t="shared" ref="P57:P58" si="7">(M57-K57)/K57</f>
        <v>-0.72235393461674102</v>
      </c>
    </row>
    <row r="58" spans="3:19" x14ac:dyDescent="0.35">
      <c r="C58" s="106" t="s">
        <v>161</v>
      </c>
      <c r="D58" s="107">
        <v>1570.2498564233013</v>
      </c>
      <c r="E58" s="107">
        <v>1563.8263788118968</v>
      </c>
      <c r="F58" s="107">
        <v>1787.9145369327466</v>
      </c>
      <c r="G58" s="107">
        <v>1740.100039633923</v>
      </c>
      <c r="H58" s="107">
        <v>1832.6334366611582</v>
      </c>
      <c r="I58" s="107">
        <v>1627.4046978964539</v>
      </c>
      <c r="J58" s="107">
        <v>1503.8368625599019</v>
      </c>
      <c r="K58" s="107">
        <v>1445.7837577125299</v>
      </c>
      <c r="L58" s="107">
        <v>1351.0342282848251</v>
      </c>
      <c r="M58" s="107">
        <v>1288.1469614046148</v>
      </c>
      <c r="N58" s="158">
        <f t="shared" si="5"/>
        <v>-6.4763714252415977E-2</v>
      </c>
      <c r="O58" s="158">
        <f t="shared" si="6"/>
        <v>-0.11160158282612986</v>
      </c>
      <c r="P58" s="158">
        <f t="shared" si="7"/>
        <v>-0.10903207029889637</v>
      </c>
    </row>
    <row r="59" spans="3:19" x14ac:dyDescent="0.35">
      <c r="C59" s="106" t="s">
        <v>162</v>
      </c>
      <c r="D59" s="107">
        <v>589.12099999999987</v>
      </c>
      <c r="E59" s="107">
        <v>618.83098901114852</v>
      </c>
      <c r="F59" s="107">
        <v>519.01138789982349</v>
      </c>
      <c r="G59" s="107">
        <v>566.30394120618985</v>
      </c>
      <c r="H59" s="107">
        <v>539.28423180848222</v>
      </c>
      <c r="I59" s="107">
        <v>411.59532992576021</v>
      </c>
      <c r="J59" s="107">
        <v>369.19619060591862</v>
      </c>
      <c r="K59" s="107">
        <v>343.02388985596764</v>
      </c>
      <c r="L59" s="107">
        <v>331.68174453296058</v>
      </c>
      <c r="M59" s="107">
        <v>341.27536649618577</v>
      </c>
      <c r="N59" s="158">
        <f>(I59-G59)/G59</f>
        <v>-0.27319006636420462</v>
      </c>
      <c r="O59" s="158">
        <f>(K59-I59)/I59</f>
        <v>-0.16659916933984859</v>
      </c>
      <c r="P59" s="158">
        <f>(M59-K59)/K59</f>
        <v>-5.097380711635153E-3</v>
      </c>
    </row>
    <row r="60" spans="3:19" x14ac:dyDescent="0.35">
      <c r="C60" s="106" t="s">
        <v>163</v>
      </c>
      <c r="D60" s="107">
        <v>685.8979999997739</v>
      </c>
      <c r="E60" s="107">
        <v>716.42304412395094</v>
      </c>
      <c r="F60" s="107">
        <v>803.26899841892089</v>
      </c>
      <c r="G60" s="107">
        <v>834.92823322904371</v>
      </c>
      <c r="H60" s="107">
        <v>874.42396810517334</v>
      </c>
      <c r="I60" s="107">
        <v>879.7999490785669</v>
      </c>
      <c r="J60" s="107">
        <v>918.6191172861204</v>
      </c>
      <c r="K60" s="107">
        <v>948.49788872283318</v>
      </c>
      <c r="L60" s="107">
        <v>1015.773287517057</v>
      </c>
      <c r="M60" s="107">
        <v>1046.1343915859084</v>
      </c>
      <c r="N60" s="158">
        <f t="shared" si="5"/>
        <v>5.3743200988645504E-2</v>
      </c>
      <c r="O60" s="158">
        <f t="shared" ref="O60:O66" si="8">(K60-I60)/I60</f>
        <v>7.8083591293924365E-2</v>
      </c>
      <c r="P60" s="158">
        <f t="shared" ref="P60:P66" si="9">(M60-K60)/K60</f>
        <v>0.10293802867030544</v>
      </c>
    </row>
    <row r="61" spans="3:19" x14ac:dyDescent="0.35">
      <c r="C61" s="106" t="s">
        <v>164</v>
      </c>
      <c r="D61" s="107">
        <v>905.22900000000004</v>
      </c>
      <c r="E61" s="107">
        <v>921.51699999999994</v>
      </c>
      <c r="F61" s="107">
        <v>798.39000000000055</v>
      </c>
      <c r="G61" s="107">
        <v>793.85001331328624</v>
      </c>
      <c r="H61" s="107">
        <v>804.66946625505182</v>
      </c>
      <c r="I61" s="107">
        <v>864.53748021179945</v>
      </c>
      <c r="J61" s="107">
        <v>832.09753948465197</v>
      </c>
      <c r="K61" s="107">
        <v>798.72287092254089</v>
      </c>
      <c r="L61" s="107">
        <v>768.78046656788138</v>
      </c>
      <c r="M61" s="107">
        <v>752.58356955533282</v>
      </c>
      <c r="N61" s="158">
        <f t="shared" si="5"/>
        <v>8.9043856790384651E-2</v>
      </c>
      <c r="O61" s="158">
        <f t="shared" si="8"/>
        <v>-7.6126958975954298E-2</v>
      </c>
      <c r="P61" s="158">
        <f t="shared" si="9"/>
        <v>-5.7766345558524272E-2</v>
      </c>
    </row>
    <row r="62" spans="3:19" x14ac:dyDescent="0.35">
      <c r="C62" s="106" t="s">
        <v>165</v>
      </c>
      <c r="D62" s="107">
        <v>698.05799999337478</v>
      </c>
      <c r="E62" s="107">
        <v>737.45824919582321</v>
      </c>
      <c r="F62" s="107">
        <v>696.91200723307804</v>
      </c>
      <c r="G62" s="107">
        <v>715.18767374060724</v>
      </c>
      <c r="H62" s="107">
        <v>788.20937617698166</v>
      </c>
      <c r="I62" s="107">
        <v>823.50999487916431</v>
      </c>
      <c r="J62" s="107">
        <v>780.74696870589264</v>
      </c>
      <c r="K62" s="107">
        <v>776.14894326204251</v>
      </c>
      <c r="L62" s="107">
        <v>767.88164619692031</v>
      </c>
      <c r="M62" s="107">
        <v>768.22532109187989</v>
      </c>
      <c r="N62" s="158">
        <f t="shared" si="5"/>
        <v>0.15145999451025871</v>
      </c>
      <c r="O62" s="158">
        <f t="shared" si="8"/>
        <v>-5.7511204371078956E-2</v>
      </c>
      <c r="P62" s="158">
        <f t="shared" si="9"/>
        <v>-1.0208893845633249E-2</v>
      </c>
    </row>
    <row r="63" spans="3:19" x14ac:dyDescent="0.35">
      <c r="C63" s="117" t="s">
        <v>166</v>
      </c>
      <c r="D63" s="116">
        <v>698.05799999337478</v>
      </c>
      <c r="E63" s="116">
        <v>737.45824919582321</v>
      </c>
      <c r="F63" s="116">
        <v>696.91200723307804</v>
      </c>
      <c r="G63" s="116">
        <v>695.73171736433653</v>
      </c>
      <c r="H63" s="116">
        <v>771.28363682817371</v>
      </c>
      <c r="I63" s="116">
        <v>805.59226359562717</v>
      </c>
      <c r="J63" s="116">
        <v>768.29415886558934</v>
      </c>
      <c r="K63" s="116">
        <v>762.27373073935928</v>
      </c>
      <c r="L63" s="116">
        <v>753.42160964213372</v>
      </c>
      <c r="M63" s="116">
        <v>753.14136622553679</v>
      </c>
      <c r="N63" s="158">
        <f t="shared" si="5"/>
        <v>0.1579064795945756</v>
      </c>
      <c r="O63" s="158">
        <f t="shared" si="8"/>
        <v>-5.3772280114661009E-2</v>
      </c>
      <c r="P63" s="158">
        <f t="shared" si="9"/>
        <v>-1.198042664406742E-2</v>
      </c>
    </row>
    <row r="64" spans="3:19" x14ac:dyDescent="0.35">
      <c r="C64" s="117" t="s">
        <v>167</v>
      </c>
      <c r="D64" s="116">
        <v>0</v>
      </c>
      <c r="E64" s="116">
        <v>0</v>
      </c>
      <c r="F64" s="116">
        <v>0</v>
      </c>
      <c r="G64" s="116">
        <v>4.9999848987309234E-2</v>
      </c>
      <c r="H64" s="116">
        <v>0.79196105299525388</v>
      </c>
      <c r="I64" s="116">
        <v>1.4600547638998365</v>
      </c>
      <c r="J64" s="116">
        <v>2.3524467133532845</v>
      </c>
      <c r="K64" s="116">
        <v>3.9653597424416187</v>
      </c>
      <c r="L64" s="116">
        <v>5.3841157935354964</v>
      </c>
      <c r="M64" s="116">
        <v>6.2097280031634767</v>
      </c>
      <c r="N64" s="158">
        <f t="shared" si="5"/>
        <v>28.201183472982525</v>
      </c>
      <c r="O64" s="158">
        <f t="shared" si="8"/>
        <v>1.715897951560434</v>
      </c>
      <c r="P64" s="158">
        <f t="shared" si="9"/>
        <v>0.56599360625472972</v>
      </c>
    </row>
    <row r="65" spans="3:18" x14ac:dyDescent="0.35">
      <c r="C65" s="117" t="s">
        <v>169</v>
      </c>
      <c r="D65" s="116">
        <v>0</v>
      </c>
      <c r="E65" s="116">
        <v>0</v>
      </c>
      <c r="F65" s="116">
        <v>0</v>
      </c>
      <c r="G65" s="116">
        <v>19.405956527283358</v>
      </c>
      <c r="H65" s="116">
        <v>16.133778295812736</v>
      </c>
      <c r="I65" s="116">
        <v>16.4576765196373</v>
      </c>
      <c r="J65" s="116">
        <v>10.10036312695005</v>
      </c>
      <c r="K65" s="116">
        <v>9.9098527802416072</v>
      </c>
      <c r="L65" s="116">
        <v>9.0759207612511545</v>
      </c>
      <c r="M65" s="116">
        <v>8.8742268631796293</v>
      </c>
      <c r="N65" s="158">
        <f t="shared" si="5"/>
        <v>-0.15192654912428522</v>
      </c>
      <c r="O65" s="158">
        <f t="shared" si="8"/>
        <v>-0.39785833264998427</v>
      </c>
      <c r="P65" s="158">
        <f t="shared" si="9"/>
        <v>-0.10450467227190521</v>
      </c>
    </row>
    <row r="66" spans="3:18" x14ac:dyDescent="0.35">
      <c r="C66" s="106" t="s">
        <v>170</v>
      </c>
      <c r="D66" s="107">
        <v>0</v>
      </c>
      <c r="E66" s="107">
        <v>0</v>
      </c>
      <c r="F66" s="107">
        <v>0</v>
      </c>
      <c r="G66" s="107">
        <v>1.4895889060488599E-3</v>
      </c>
      <c r="H66" s="107">
        <v>1.4591520574031361E-2</v>
      </c>
      <c r="I66" s="107">
        <v>8.7382067064824862E-2</v>
      </c>
      <c r="J66" s="107">
        <v>1.9981123183120124</v>
      </c>
      <c r="K66" s="107">
        <v>7.7537340612380952</v>
      </c>
      <c r="L66" s="107">
        <v>12.816669607702122</v>
      </c>
      <c r="M66" s="107">
        <v>16.785668973112383</v>
      </c>
      <c r="N66" s="158">
        <f>(I66-G66)/G66</f>
        <v>57.661867519278267</v>
      </c>
      <c r="O66" s="158">
        <f t="shared" si="8"/>
        <v>87.733699278204824</v>
      </c>
      <c r="P66" s="158">
        <f t="shared" si="9"/>
        <v>1.16484971505872</v>
      </c>
    </row>
    <row r="67" spans="3:18" x14ac:dyDescent="0.35">
      <c r="C67" s="106" t="s">
        <v>171</v>
      </c>
      <c r="D67" s="107">
        <v>0</v>
      </c>
      <c r="E67" s="107">
        <v>0</v>
      </c>
      <c r="F67" s="107">
        <v>0</v>
      </c>
      <c r="G67" s="107">
        <v>0</v>
      </c>
      <c r="H67" s="107">
        <v>0</v>
      </c>
      <c r="I67" s="107">
        <v>0</v>
      </c>
      <c r="J67" s="107">
        <v>0</v>
      </c>
      <c r="K67" s="107">
        <v>0</v>
      </c>
      <c r="L67" s="107">
        <v>0</v>
      </c>
      <c r="M67" s="107">
        <v>0</v>
      </c>
      <c r="N67" s="158">
        <v>0</v>
      </c>
      <c r="O67" s="158">
        <v>0</v>
      </c>
      <c r="P67" s="158">
        <v>0</v>
      </c>
    </row>
    <row r="69" spans="3:18" x14ac:dyDescent="0.35">
      <c r="C69" s="68" t="s">
        <v>260</v>
      </c>
    </row>
    <row r="71" spans="3:18" x14ac:dyDescent="0.35">
      <c r="C71" s="9"/>
      <c r="D71" s="9">
        <v>2010</v>
      </c>
      <c r="E71" s="9">
        <v>2011</v>
      </c>
      <c r="F71" s="9">
        <v>2012</v>
      </c>
      <c r="G71" s="9">
        <v>2013</v>
      </c>
      <c r="H71" s="9">
        <v>2014</v>
      </c>
      <c r="I71" s="9">
        <v>2015</v>
      </c>
      <c r="J71" s="9">
        <v>2016</v>
      </c>
      <c r="K71" s="9">
        <v>2017</v>
      </c>
      <c r="L71" s="9">
        <v>2018</v>
      </c>
      <c r="M71" s="9">
        <v>2019</v>
      </c>
      <c r="N71" s="9">
        <v>2020</v>
      </c>
      <c r="O71" s="9">
        <v>2021</v>
      </c>
      <c r="P71" s="9">
        <v>2030</v>
      </c>
      <c r="Q71" s="9">
        <v>2040</v>
      </c>
      <c r="R71" s="9">
        <v>2050</v>
      </c>
    </row>
    <row r="72" spans="3:18" x14ac:dyDescent="0.35">
      <c r="C72" s="68" t="s">
        <v>151</v>
      </c>
      <c r="D72" s="118">
        <v>1593.2159999999999</v>
      </c>
      <c r="E72" s="118">
        <v>1532.2070000000001</v>
      </c>
      <c r="F72" s="118">
        <v>1534.798</v>
      </c>
      <c r="G72" s="118">
        <v>1467.1980000000001</v>
      </c>
      <c r="H72" s="118">
        <v>1400.9</v>
      </c>
      <c r="I72" s="118">
        <v>1359.1310000000001</v>
      </c>
      <c r="J72" s="118">
        <v>1433.211</v>
      </c>
      <c r="K72" s="118">
        <v>1455.374</v>
      </c>
      <c r="L72" s="118">
        <v>1511.606</v>
      </c>
      <c r="M72" s="118">
        <v>1447.1769999999999</v>
      </c>
      <c r="N72" s="118">
        <v>1433.3610000000001</v>
      </c>
      <c r="O72" s="118">
        <v>1629.694</v>
      </c>
      <c r="P72" s="161"/>
      <c r="Q72" s="161"/>
      <c r="R72" s="161"/>
    </row>
    <row r="73" spans="3:18" x14ac:dyDescent="0.35">
      <c r="C73" s="68" t="s">
        <v>151</v>
      </c>
      <c r="D73" s="159">
        <f>SUM(D74:D83)</f>
        <v>1579.2219999999998</v>
      </c>
      <c r="E73" s="159">
        <f t="shared" ref="E73" si="10">SUM(E74:E83)</f>
        <v>1516.701</v>
      </c>
      <c r="F73" s="159">
        <f t="shared" ref="F73" si="11">SUM(F74:F83)</f>
        <v>1516.789</v>
      </c>
      <c r="G73" s="159">
        <f t="shared" ref="G73" si="12">SUM(G74:G83)</f>
        <v>1449.431</v>
      </c>
      <c r="H73" s="159">
        <f t="shared" ref="H73" si="13">SUM(H74:H83)</f>
        <v>1385.992</v>
      </c>
      <c r="I73" s="159">
        <f t="shared" ref="I73" si="14">SUM(I74:I83)</f>
        <v>1347.491</v>
      </c>
      <c r="J73" s="159">
        <f t="shared" ref="J73" si="15">SUM(J74:J83)</f>
        <v>1419.067</v>
      </c>
      <c r="K73" s="159">
        <f t="shared" ref="K73" si="16">SUM(K74:K83)</f>
        <v>1439.8119999999999</v>
      </c>
      <c r="L73" s="159">
        <f t="shared" ref="L73" si="17">SUM(L74:L83)</f>
        <v>1493.89</v>
      </c>
      <c r="M73" s="159">
        <f t="shared" ref="M73" si="18">SUM(M74:M83)</f>
        <v>1432.7910000000002</v>
      </c>
      <c r="N73" s="159">
        <f t="shared" ref="N73" si="19">SUM(N74:N83)</f>
        <v>1423.0889999999999</v>
      </c>
      <c r="O73" s="159">
        <f t="shared" ref="O73" si="20">SUM(O74:O83)</f>
        <v>1617.47</v>
      </c>
      <c r="P73" s="161"/>
      <c r="Q73" s="161"/>
      <c r="R73" s="161"/>
    </row>
    <row r="74" spans="3:18" x14ac:dyDescent="0.35">
      <c r="C74" s="105" t="s">
        <v>140</v>
      </c>
      <c r="D74" s="118">
        <v>158.38300000000001</v>
      </c>
      <c r="E74" s="118">
        <v>144.77600000000001</v>
      </c>
      <c r="F74" s="118">
        <v>135.42599999999999</v>
      </c>
      <c r="G74" s="118">
        <v>123.173</v>
      </c>
      <c r="H74" s="118">
        <v>119.991</v>
      </c>
      <c r="I74" s="118">
        <v>122.678</v>
      </c>
      <c r="J74" s="118">
        <v>145.464</v>
      </c>
      <c r="K74" s="118">
        <v>153.785</v>
      </c>
      <c r="L74" s="118">
        <v>164.72399999999999</v>
      </c>
      <c r="M74" s="118">
        <v>160.85900000000001</v>
      </c>
      <c r="N74" s="118">
        <v>174.375</v>
      </c>
      <c r="O74" s="118">
        <v>219.905</v>
      </c>
      <c r="P74" s="159">
        <f>O74*(1+N59)</f>
        <v>159.82913845617958</v>
      </c>
      <c r="Q74" s="159">
        <f>P74*(1+O59)</f>
        <v>133.20173675307643</v>
      </c>
      <c r="R74" s="159">
        <f>Q74*(1+P59)</f>
        <v>132.522756789395</v>
      </c>
    </row>
    <row r="75" spans="3:18" x14ac:dyDescent="0.35">
      <c r="C75" s="105" t="s">
        <v>163</v>
      </c>
      <c r="D75" s="118">
        <v>222.7</v>
      </c>
      <c r="E75" s="118">
        <v>225.107</v>
      </c>
      <c r="F75" s="118">
        <v>227.17099999999999</v>
      </c>
      <c r="G75" s="118">
        <v>222.786</v>
      </c>
      <c r="H75" s="118">
        <v>228.375</v>
      </c>
      <c r="I75" s="118">
        <v>228.71899999999999</v>
      </c>
      <c r="J75" s="118">
        <v>238.607</v>
      </c>
      <c r="K75" s="118">
        <v>243.99</v>
      </c>
      <c r="L75" s="118">
        <v>256.62099999999998</v>
      </c>
      <c r="M75" s="118">
        <v>250.447</v>
      </c>
      <c r="N75" s="118">
        <v>261.75400000000002</v>
      </c>
      <c r="O75" s="118">
        <v>293.21600000000001</v>
      </c>
      <c r="P75" s="161"/>
      <c r="Q75" s="161"/>
      <c r="R75" s="161"/>
    </row>
    <row r="76" spans="3:18" x14ac:dyDescent="0.35">
      <c r="C76" s="105" t="s">
        <v>204</v>
      </c>
      <c r="D76" s="118">
        <v>573.803</v>
      </c>
      <c r="E76" s="118">
        <v>558.15899999999999</v>
      </c>
      <c r="F76" s="118">
        <v>560.5</v>
      </c>
      <c r="G76" s="118">
        <v>539.67200000000003</v>
      </c>
      <c r="H76" s="118">
        <v>508.28800000000001</v>
      </c>
      <c r="I76" s="118">
        <v>490.661</v>
      </c>
      <c r="J76" s="118">
        <v>483.90199999999999</v>
      </c>
      <c r="K76" s="118">
        <v>470.19200000000001</v>
      </c>
      <c r="L76" s="118">
        <v>479.67399999999998</v>
      </c>
      <c r="M76" s="118">
        <v>461.37900000000002</v>
      </c>
      <c r="N76" s="118">
        <v>460.25599999999997</v>
      </c>
      <c r="O76" s="118">
        <v>462.238</v>
      </c>
      <c r="P76" s="161"/>
      <c r="Q76" s="161"/>
      <c r="R76" s="161"/>
    </row>
    <row r="77" spans="3:18" x14ac:dyDescent="0.35">
      <c r="C77" s="105" t="s">
        <v>205</v>
      </c>
      <c r="D77" s="118">
        <v>7.2009999999999996</v>
      </c>
      <c r="E77" s="118">
        <v>8.23</v>
      </c>
      <c r="F77" s="118">
        <v>12.345000000000001</v>
      </c>
      <c r="G77" s="118">
        <v>10.287000000000001</v>
      </c>
      <c r="H77" s="118">
        <v>11.316000000000001</v>
      </c>
      <c r="I77" s="118">
        <v>9.2129999999999992</v>
      </c>
      <c r="J77" s="118">
        <v>14.332000000000001</v>
      </c>
      <c r="K77" s="118">
        <v>19.041</v>
      </c>
      <c r="L77" s="118">
        <v>22.213999999999999</v>
      </c>
      <c r="M77" s="118">
        <v>21.292999999999999</v>
      </c>
      <c r="N77" s="118">
        <v>22.035</v>
      </c>
      <c r="O77" s="118">
        <v>25.52</v>
      </c>
      <c r="P77" s="161"/>
      <c r="Q77" s="161"/>
      <c r="R77" s="161"/>
    </row>
    <row r="78" spans="3:18" x14ac:dyDescent="0.35">
      <c r="C78" s="105" t="s">
        <v>206</v>
      </c>
      <c r="D78" s="118">
        <v>527.37199999999996</v>
      </c>
      <c r="E78" s="118">
        <v>485.57400000000001</v>
      </c>
      <c r="F78" s="118">
        <v>487.53199999999998</v>
      </c>
      <c r="G78" s="118">
        <v>464.67500000000001</v>
      </c>
      <c r="H78" s="118">
        <v>440.00200000000001</v>
      </c>
      <c r="I78" s="118">
        <v>429.73200000000003</v>
      </c>
      <c r="J78" s="118">
        <v>466.34699999999998</v>
      </c>
      <c r="K78" s="118">
        <v>474.80200000000002</v>
      </c>
      <c r="L78" s="118">
        <v>472.03100000000001</v>
      </c>
      <c r="M78" s="118">
        <v>445.66300000000001</v>
      </c>
      <c r="N78" s="118">
        <v>420.32100000000003</v>
      </c>
      <c r="O78" s="118">
        <v>501.12299999999999</v>
      </c>
      <c r="P78" s="161"/>
      <c r="Q78" s="161"/>
      <c r="R78" s="161"/>
    </row>
    <row r="79" spans="3:18" x14ac:dyDescent="0.35">
      <c r="C79" s="105" t="s">
        <v>160</v>
      </c>
      <c r="D79" s="118">
        <v>49.848999999999997</v>
      </c>
      <c r="E79" s="118">
        <v>50.506</v>
      </c>
      <c r="F79" s="118">
        <v>47.249000000000002</v>
      </c>
      <c r="G79" s="118">
        <v>50.033000000000001</v>
      </c>
      <c r="H79" s="118">
        <v>42.540999999999997</v>
      </c>
      <c r="I79" s="118">
        <v>34.798999999999999</v>
      </c>
      <c r="J79" s="118">
        <v>36.540999999999997</v>
      </c>
      <c r="K79" s="118">
        <v>41.801000000000002</v>
      </c>
      <c r="L79" s="118">
        <v>41.399000000000001</v>
      </c>
      <c r="M79" s="118">
        <v>31.678999999999998</v>
      </c>
      <c r="N79" s="118">
        <v>24.658999999999999</v>
      </c>
      <c r="O79" s="118">
        <v>30.298999999999999</v>
      </c>
      <c r="P79" s="161"/>
      <c r="Q79" s="161"/>
      <c r="R79" s="161"/>
    </row>
    <row r="80" spans="3:18" x14ac:dyDescent="0.35">
      <c r="C80" s="105" t="s">
        <v>207</v>
      </c>
      <c r="D80" s="118">
        <v>39.914000000000001</v>
      </c>
      <c r="E80" s="118">
        <v>44.348999999999997</v>
      </c>
      <c r="F80" s="118">
        <v>46.566000000000003</v>
      </c>
      <c r="G80" s="118">
        <v>38.805</v>
      </c>
      <c r="H80" s="118">
        <v>35.478999999999999</v>
      </c>
      <c r="I80" s="118">
        <v>31.689</v>
      </c>
      <c r="J80" s="118">
        <v>33.874000000000002</v>
      </c>
      <c r="K80" s="118">
        <v>36.201000000000001</v>
      </c>
      <c r="L80" s="118">
        <v>34.966999999999999</v>
      </c>
      <c r="M80" s="118">
        <v>38.136000000000003</v>
      </c>
      <c r="N80" s="118">
        <v>31.934999999999999</v>
      </c>
      <c r="O80" s="118">
        <v>26.795000000000002</v>
      </c>
      <c r="P80" s="161"/>
      <c r="Q80" s="161"/>
      <c r="R80" s="161"/>
    </row>
    <row r="81" spans="3:19" x14ac:dyDescent="0.35">
      <c r="C81" s="105" t="s">
        <v>210</v>
      </c>
      <c r="D81" s="118">
        <v>0</v>
      </c>
      <c r="E81" s="118">
        <v>0</v>
      </c>
      <c r="F81" s="118">
        <v>0</v>
      </c>
      <c r="G81" s="118">
        <v>0</v>
      </c>
      <c r="H81" s="118">
        <v>0</v>
      </c>
      <c r="I81" s="118">
        <v>0</v>
      </c>
      <c r="J81" s="118">
        <v>0</v>
      </c>
      <c r="K81" s="118">
        <v>0</v>
      </c>
      <c r="L81" s="118">
        <v>22.26</v>
      </c>
      <c r="M81" s="118">
        <v>23.335000000000001</v>
      </c>
      <c r="N81" s="118">
        <v>27.754000000000001</v>
      </c>
      <c r="O81" s="118">
        <v>58.374000000000002</v>
      </c>
      <c r="P81" s="161"/>
      <c r="Q81" s="161"/>
      <c r="R81" s="161"/>
    </row>
    <row r="82" spans="3:19" x14ac:dyDescent="0.35">
      <c r="C82" s="105" t="s">
        <v>208</v>
      </c>
      <c r="D82" s="118">
        <v>0</v>
      </c>
      <c r="E82" s="118">
        <v>0</v>
      </c>
      <c r="F82" s="118">
        <v>0</v>
      </c>
      <c r="G82" s="118">
        <v>0</v>
      </c>
      <c r="H82" s="118">
        <v>0</v>
      </c>
      <c r="I82" s="118">
        <v>0</v>
      </c>
      <c r="J82" s="118">
        <v>0</v>
      </c>
      <c r="K82" s="118">
        <v>0</v>
      </c>
      <c r="L82" s="118">
        <v>0</v>
      </c>
      <c r="M82" s="118">
        <v>0</v>
      </c>
      <c r="N82" s="118">
        <v>0</v>
      </c>
      <c r="O82" s="118">
        <v>0</v>
      </c>
      <c r="P82" s="161"/>
      <c r="Q82" s="161"/>
      <c r="R82" s="161"/>
    </row>
    <row r="83" spans="3:19" x14ac:dyDescent="0.35">
      <c r="C83" s="105" t="s">
        <v>209</v>
      </c>
      <c r="D83" s="118">
        <v>0</v>
      </c>
      <c r="E83" s="118">
        <v>0</v>
      </c>
      <c r="F83" s="118">
        <v>0</v>
      </c>
      <c r="G83" s="118">
        <v>0</v>
      </c>
      <c r="H83" s="118">
        <v>0</v>
      </c>
      <c r="I83" s="118">
        <v>0</v>
      </c>
      <c r="J83" s="118">
        <v>0</v>
      </c>
      <c r="K83" s="118">
        <v>0</v>
      </c>
      <c r="L83" s="118">
        <v>0</v>
      </c>
      <c r="M83" s="118">
        <v>0</v>
      </c>
      <c r="N83" s="118">
        <v>0</v>
      </c>
      <c r="O83" s="118">
        <v>0</v>
      </c>
      <c r="P83" s="161"/>
      <c r="Q83" s="161"/>
      <c r="R83" s="161"/>
    </row>
    <row r="84" spans="3:19" x14ac:dyDescent="0.35">
      <c r="C84" s="105"/>
      <c r="D84" s="118"/>
      <c r="E84" s="118"/>
      <c r="F84" s="118"/>
      <c r="G84" s="118"/>
      <c r="H84" s="118"/>
      <c r="I84" s="118"/>
      <c r="J84" s="118"/>
      <c r="K84" s="118"/>
      <c r="L84" s="118"/>
      <c r="M84" s="118"/>
      <c r="N84" s="118"/>
      <c r="O84" s="118"/>
      <c r="P84" s="161"/>
      <c r="Q84" s="161"/>
      <c r="R84" s="161"/>
    </row>
    <row r="86" spans="3:19" s="99" customFormat="1" ht="13.5" x14ac:dyDescent="0.35">
      <c r="D86" s="142" t="s">
        <v>68</v>
      </c>
      <c r="E86" s="142"/>
      <c r="F86" s="142"/>
      <c r="G86" s="142"/>
      <c r="H86" s="142"/>
      <c r="I86" s="142"/>
      <c r="J86" s="142"/>
      <c r="K86" s="142"/>
      <c r="L86" s="142"/>
      <c r="M86" s="142"/>
      <c r="N86" s="142"/>
      <c r="O86" s="142"/>
      <c r="P86" s="142"/>
      <c r="Q86" s="142"/>
      <c r="R86" s="142"/>
      <c r="S86" s="142"/>
    </row>
    <row r="88" spans="3:19" x14ac:dyDescent="0.35">
      <c r="C88" s="68" t="s">
        <v>259</v>
      </c>
    </row>
    <row r="90" spans="3:19" x14ac:dyDescent="0.35">
      <c r="C90" s="9"/>
      <c r="D90" s="9">
        <v>2005</v>
      </c>
      <c r="E90" s="9">
        <v>2010</v>
      </c>
      <c r="F90" s="9">
        <v>2015</v>
      </c>
      <c r="G90" s="9">
        <v>2020</v>
      </c>
      <c r="H90" s="9">
        <v>2025</v>
      </c>
      <c r="I90" s="9">
        <v>2030</v>
      </c>
      <c r="J90" s="9">
        <v>2035</v>
      </c>
      <c r="K90" s="9">
        <v>2040</v>
      </c>
      <c r="L90" s="9">
        <v>2045</v>
      </c>
      <c r="M90" s="9">
        <v>2050</v>
      </c>
      <c r="N90" s="9" t="s">
        <v>211</v>
      </c>
      <c r="O90" s="9" t="s">
        <v>212</v>
      </c>
      <c r="P90" s="9" t="s">
        <v>213</v>
      </c>
    </row>
    <row r="91" spans="3:19" x14ac:dyDescent="0.35">
      <c r="C91" s="68" t="s">
        <v>151</v>
      </c>
      <c r="D91" s="118">
        <v>3959.4389307153497</v>
      </c>
      <c r="E91" s="118">
        <v>4002.8046198491252</v>
      </c>
      <c r="F91" s="118">
        <v>3680.199699248361</v>
      </c>
      <c r="G91" s="118">
        <v>3829.9200363358718</v>
      </c>
      <c r="H91" s="118">
        <v>3793.6687456426171</v>
      </c>
      <c r="I91" s="118">
        <v>3587.2221464681343</v>
      </c>
      <c r="J91" s="118">
        <v>3474.7881159914805</v>
      </c>
      <c r="K91" s="118">
        <v>3312.299032077944</v>
      </c>
      <c r="L91" s="118">
        <v>3159.8201998197578</v>
      </c>
      <c r="M91" s="118">
        <v>3027.0273614128955</v>
      </c>
      <c r="N91" s="158">
        <f>(I91-G91)/G91</f>
        <v>-6.3368918297294116E-2</v>
      </c>
      <c r="O91" s="158">
        <f>(K91-I91)/I91</f>
        <v>-7.6639556504988368E-2</v>
      </c>
      <c r="P91" s="158">
        <f>(M91-K91)/K91</f>
        <v>-8.6124974799176163E-2</v>
      </c>
    </row>
    <row r="92" spans="3:19" x14ac:dyDescent="0.35">
      <c r="C92" s="106" t="s">
        <v>160</v>
      </c>
      <c r="D92" s="107">
        <v>73.366</v>
      </c>
      <c r="E92" s="107">
        <v>94.072994989685455</v>
      </c>
      <c r="F92" s="107">
        <v>42.50000000000005</v>
      </c>
      <c r="G92" s="107">
        <v>31.75958820037409</v>
      </c>
      <c r="H92" s="107">
        <v>27.077546825266658</v>
      </c>
      <c r="I92" s="107">
        <v>21.46583672253562</v>
      </c>
      <c r="J92" s="107">
        <v>14.039611506962938</v>
      </c>
      <c r="K92" s="107">
        <v>7.8916356610406293</v>
      </c>
      <c r="L92" s="107">
        <v>4.6826110986300273</v>
      </c>
      <c r="M92" s="107">
        <v>3.2113655845934801</v>
      </c>
      <c r="N92" s="158">
        <f t="shared" ref="N92:N93" si="21">(I92-G92)/G92</f>
        <v>-0.32411476537083128</v>
      </c>
      <c r="O92" s="158">
        <f t="shared" ref="O92:O93" si="22">(K92-I92)/I92</f>
        <v>-0.63236300717988314</v>
      </c>
      <c r="P92" s="158">
        <f t="shared" ref="P92:P93" si="23">(M92-K92)/K92</f>
        <v>-0.59306717611821247</v>
      </c>
    </row>
    <row r="93" spans="3:19" x14ac:dyDescent="0.35">
      <c r="C93" s="106" t="s">
        <v>161</v>
      </c>
      <c r="D93" s="107">
        <v>1264.307000834729</v>
      </c>
      <c r="E93" s="107">
        <v>1327.8050726625083</v>
      </c>
      <c r="F93" s="107">
        <v>1265.1533558925339</v>
      </c>
      <c r="G93" s="107">
        <v>1321.8801898638555</v>
      </c>
      <c r="H93" s="107">
        <v>1334.0452142828028</v>
      </c>
      <c r="I93" s="107">
        <v>1150.8804646893414</v>
      </c>
      <c r="J93" s="107">
        <v>1031.9165938263145</v>
      </c>
      <c r="K93" s="107">
        <v>938.21964075054802</v>
      </c>
      <c r="L93" s="107">
        <v>866.90778432468778</v>
      </c>
      <c r="M93" s="107">
        <v>807.83503387356802</v>
      </c>
      <c r="N93" s="158">
        <f t="shared" si="21"/>
        <v>-0.12936098633275228</v>
      </c>
      <c r="O93" s="158">
        <f t="shared" si="22"/>
        <v>-0.18478098331106624</v>
      </c>
      <c r="P93" s="158">
        <f t="shared" si="23"/>
        <v>-0.13897023811255557</v>
      </c>
    </row>
    <row r="94" spans="3:19" x14ac:dyDescent="0.35">
      <c r="C94" s="106" t="s">
        <v>162</v>
      </c>
      <c r="D94" s="107">
        <v>507.92292987624512</v>
      </c>
      <c r="E94" s="107">
        <v>498.25871556182449</v>
      </c>
      <c r="F94" s="107">
        <v>316.72163408647253</v>
      </c>
      <c r="G94" s="107">
        <v>293.60120118680447</v>
      </c>
      <c r="H94" s="107">
        <v>291.91431256430371</v>
      </c>
      <c r="I94" s="107">
        <v>260.75663127770713</v>
      </c>
      <c r="J94" s="107">
        <v>291.64960121863123</v>
      </c>
      <c r="K94" s="107">
        <v>317.85608217933418</v>
      </c>
      <c r="L94" s="107">
        <v>310.01216843031398</v>
      </c>
      <c r="M94" s="107">
        <v>279.99770270139538</v>
      </c>
      <c r="N94" s="158">
        <f>(I94-G94)/G94</f>
        <v>-0.11186796844267646</v>
      </c>
      <c r="O94" s="158">
        <f>(K94-I94)/I94</f>
        <v>0.21897602611998715</v>
      </c>
      <c r="P94" s="158">
        <f>(M94-K94)/K94</f>
        <v>-0.11910541153835504</v>
      </c>
    </row>
    <row r="95" spans="3:19" x14ac:dyDescent="0.35">
      <c r="C95" s="106" t="s">
        <v>163</v>
      </c>
      <c r="D95" s="107">
        <v>492.60600000379435</v>
      </c>
      <c r="E95" s="107">
        <v>534.39600000000007</v>
      </c>
      <c r="F95" s="107">
        <v>555.54817469609441</v>
      </c>
      <c r="G95" s="107">
        <v>527.88303115542681</v>
      </c>
      <c r="H95" s="107">
        <v>603.30527966994555</v>
      </c>
      <c r="I95" s="107">
        <v>646.80158801042944</v>
      </c>
      <c r="J95" s="107">
        <v>697.53488407556347</v>
      </c>
      <c r="K95" s="107">
        <v>735.98579981854414</v>
      </c>
      <c r="L95" s="107">
        <v>765.71482644923833</v>
      </c>
      <c r="M95" s="107">
        <v>770.13628394675595</v>
      </c>
      <c r="N95" s="158">
        <f t="shared" ref="N95:N100" si="24">(I95-G95)/G95</f>
        <v>0.22527444497451357</v>
      </c>
      <c r="O95" s="158">
        <f t="shared" ref="O95:O101" si="25">(K95-I95)/I95</f>
        <v>0.13788496110908843</v>
      </c>
      <c r="P95" s="158">
        <f t="shared" ref="P95:P101" si="26">(M95-K95)/K95</f>
        <v>4.6401009552944565E-2</v>
      </c>
    </row>
    <row r="96" spans="3:19" x14ac:dyDescent="0.35">
      <c r="C96" s="106" t="s">
        <v>164</v>
      </c>
      <c r="D96" s="107">
        <v>603.27600000000007</v>
      </c>
      <c r="E96" s="107">
        <v>574.952</v>
      </c>
      <c r="F96" s="107">
        <v>503.98900000080073</v>
      </c>
      <c r="G96" s="107">
        <v>528.21850882984984</v>
      </c>
      <c r="H96" s="107">
        <v>470.42208862270314</v>
      </c>
      <c r="I96" s="107">
        <v>435.8934517235524</v>
      </c>
      <c r="J96" s="107">
        <v>409.73271647331467</v>
      </c>
      <c r="K96" s="107">
        <v>401.1537971543334</v>
      </c>
      <c r="L96" s="107">
        <v>350.14005538437073</v>
      </c>
      <c r="M96" s="107">
        <v>335.29122251900725</v>
      </c>
      <c r="N96" s="158">
        <f t="shared" si="24"/>
        <v>-0.1747857289416514</v>
      </c>
      <c r="O96" s="158">
        <f t="shared" si="25"/>
        <v>-7.9697583048921786E-2</v>
      </c>
      <c r="P96" s="158">
        <f t="shared" si="26"/>
        <v>-0.16418285231882587</v>
      </c>
    </row>
    <row r="97" spans="3:18" x14ac:dyDescent="0.35">
      <c r="C97" s="106" t="s">
        <v>165</v>
      </c>
      <c r="D97" s="107">
        <v>1017.9610000005808</v>
      </c>
      <c r="E97" s="107">
        <v>973.31983663510755</v>
      </c>
      <c r="F97" s="107">
        <v>996.28753457245875</v>
      </c>
      <c r="G97" s="107">
        <v>1126.5745952204477</v>
      </c>
      <c r="H97" s="107">
        <v>1066.8961933158143</v>
      </c>
      <c r="I97" s="107">
        <v>1071.2725724226652</v>
      </c>
      <c r="J97" s="107">
        <v>1028.9453092084077</v>
      </c>
      <c r="K97" s="107">
        <v>907.70814932839653</v>
      </c>
      <c r="L97" s="107">
        <v>855.01155211978971</v>
      </c>
      <c r="M97" s="107">
        <v>817.2049735074836</v>
      </c>
      <c r="N97" s="158">
        <f t="shared" si="24"/>
        <v>-4.9088647154306705E-2</v>
      </c>
      <c r="O97" s="158">
        <f t="shared" si="25"/>
        <v>-0.15268235863107227</v>
      </c>
      <c r="P97" s="158">
        <f t="shared" si="26"/>
        <v>-9.9705148497207227E-2</v>
      </c>
    </row>
    <row r="98" spans="3:18" x14ac:dyDescent="0.35">
      <c r="C98" s="117" t="s">
        <v>166</v>
      </c>
      <c r="D98" s="116">
        <v>1017.9610000005808</v>
      </c>
      <c r="E98" s="116">
        <v>973.31983663510755</v>
      </c>
      <c r="F98" s="116">
        <v>996.28753457245875</v>
      </c>
      <c r="G98" s="116">
        <v>1125.7481434254887</v>
      </c>
      <c r="H98" s="116">
        <v>1066.0263849746771</v>
      </c>
      <c r="I98" s="116">
        <v>1069.6621471923513</v>
      </c>
      <c r="J98" s="116">
        <v>1026.1571047856037</v>
      </c>
      <c r="K98" s="116">
        <v>903.37088265333671</v>
      </c>
      <c r="L98" s="116">
        <v>850.07240655034025</v>
      </c>
      <c r="M98" s="116">
        <v>811.64891337805398</v>
      </c>
      <c r="N98" s="158">
        <f t="shared" si="24"/>
        <v>-4.9821087035041269E-2</v>
      </c>
      <c r="O98" s="158">
        <f t="shared" si="25"/>
        <v>-0.15546148377363436</v>
      </c>
      <c r="P98" s="158">
        <f t="shared" si="26"/>
        <v>-0.10153301488518365</v>
      </c>
    </row>
    <row r="99" spans="3:18" x14ac:dyDescent="0.35">
      <c r="C99" s="117" t="s">
        <v>167</v>
      </c>
      <c r="D99" s="116">
        <v>0</v>
      </c>
      <c r="E99" s="116">
        <v>0</v>
      </c>
      <c r="F99" s="116">
        <v>0</v>
      </c>
      <c r="G99" s="116">
        <v>9.7353504376021915E-2</v>
      </c>
      <c r="H99" s="116">
        <v>0.35067776015613067</v>
      </c>
      <c r="I99" s="116">
        <v>1.2977884296530737</v>
      </c>
      <c r="J99" s="116">
        <v>2.4188618400734527</v>
      </c>
      <c r="K99" s="116">
        <v>3.9815376370988389</v>
      </c>
      <c r="L99" s="116">
        <v>4.5964243381166394</v>
      </c>
      <c r="M99" s="116">
        <v>5.280003302649634</v>
      </c>
      <c r="N99" s="158">
        <f t="shared" si="24"/>
        <v>12.330680163709832</v>
      </c>
      <c r="O99" s="158">
        <f t="shared" si="25"/>
        <v>2.0679404640425005</v>
      </c>
      <c r="P99" s="158">
        <f t="shared" si="26"/>
        <v>0.3261216604992152</v>
      </c>
    </row>
    <row r="100" spans="3:18" x14ac:dyDescent="0.35">
      <c r="C100" s="117" t="s">
        <v>169</v>
      </c>
      <c r="D100" s="116">
        <v>0</v>
      </c>
      <c r="E100" s="116">
        <v>0</v>
      </c>
      <c r="F100" s="116">
        <v>0</v>
      </c>
      <c r="G100" s="116">
        <v>0.72909829058278675</v>
      </c>
      <c r="H100" s="116">
        <v>0.51913058098119791</v>
      </c>
      <c r="I100" s="116">
        <v>0.31263680066088995</v>
      </c>
      <c r="J100" s="116">
        <v>0.3693425827304182</v>
      </c>
      <c r="K100" s="116">
        <v>0.35572903796091282</v>
      </c>
      <c r="L100" s="116">
        <v>0.34272123133279209</v>
      </c>
      <c r="M100" s="116">
        <v>0.27605682677994281</v>
      </c>
      <c r="N100" s="158">
        <f t="shared" si="24"/>
        <v>-0.57120074933793707</v>
      </c>
      <c r="O100" s="158">
        <f t="shared" si="25"/>
        <v>0.13783482049755252</v>
      </c>
      <c r="P100" s="158">
        <f t="shared" si="26"/>
        <v>-0.22396881524674497</v>
      </c>
    </row>
    <row r="101" spans="3:18" x14ac:dyDescent="0.35">
      <c r="C101" s="106" t="s">
        <v>170</v>
      </c>
      <c r="D101" s="107">
        <v>0</v>
      </c>
      <c r="E101" s="107">
        <v>0</v>
      </c>
      <c r="F101" s="107">
        <v>0</v>
      </c>
      <c r="G101" s="107">
        <v>2.9218791133953279E-3</v>
      </c>
      <c r="H101" s="107">
        <v>8.1103617806716904E-3</v>
      </c>
      <c r="I101" s="107">
        <v>0.15160162190294546</v>
      </c>
      <c r="J101" s="107">
        <v>0.96939968228589002</v>
      </c>
      <c r="K101" s="107">
        <v>3.4839271857476253</v>
      </c>
      <c r="L101" s="107">
        <v>7.3512020127275886</v>
      </c>
      <c r="M101" s="107">
        <v>13.350779280092402</v>
      </c>
      <c r="N101" s="158">
        <f>(I101-G101)/G101</f>
        <v>50.884974025081739</v>
      </c>
      <c r="O101" s="158">
        <f t="shared" si="25"/>
        <v>21.980804176211365</v>
      </c>
      <c r="P101" s="158">
        <f t="shared" si="26"/>
        <v>2.8321062893360738</v>
      </c>
    </row>
    <row r="102" spans="3:18" x14ac:dyDescent="0.35">
      <c r="C102" s="106" t="s">
        <v>171</v>
      </c>
      <c r="D102" s="107">
        <v>0</v>
      </c>
      <c r="E102" s="107">
        <v>0</v>
      </c>
      <c r="F102" s="107">
        <v>0</v>
      </c>
      <c r="G102" s="107">
        <v>0</v>
      </c>
      <c r="H102" s="107">
        <v>0</v>
      </c>
      <c r="I102" s="107">
        <v>0</v>
      </c>
      <c r="J102" s="107">
        <v>0</v>
      </c>
      <c r="K102" s="107">
        <v>0</v>
      </c>
      <c r="L102" s="107">
        <v>0</v>
      </c>
      <c r="M102" s="107">
        <v>0</v>
      </c>
      <c r="N102" s="158">
        <v>0</v>
      </c>
      <c r="O102" s="158">
        <v>0</v>
      </c>
      <c r="P102" s="158">
        <v>0</v>
      </c>
    </row>
    <row r="104" spans="3:18" x14ac:dyDescent="0.35">
      <c r="C104" s="68" t="s">
        <v>260</v>
      </c>
    </row>
    <row r="106" spans="3:18" x14ac:dyDescent="0.35">
      <c r="C106" s="9"/>
      <c r="D106" s="9">
        <v>2010</v>
      </c>
      <c r="E106" s="9">
        <v>2011</v>
      </c>
      <c r="F106" s="9">
        <v>2012</v>
      </c>
      <c r="G106" s="9">
        <v>2013</v>
      </c>
      <c r="H106" s="9">
        <v>2014</v>
      </c>
      <c r="I106" s="9">
        <v>2015</v>
      </c>
      <c r="J106" s="9">
        <v>2016</v>
      </c>
      <c r="K106" s="9">
        <v>2017</v>
      </c>
      <c r="L106" s="9">
        <v>2018</v>
      </c>
      <c r="M106" s="9">
        <v>2019</v>
      </c>
      <c r="N106" s="9">
        <v>2020</v>
      </c>
      <c r="O106" s="9">
        <v>2021</v>
      </c>
      <c r="P106" s="9">
        <v>2030</v>
      </c>
      <c r="Q106" s="9">
        <v>2040</v>
      </c>
      <c r="R106" s="9">
        <v>2050</v>
      </c>
    </row>
    <row r="107" spans="3:18" x14ac:dyDescent="0.35">
      <c r="C107" s="68" t="s">
        <v>151</v>
      </c>
      <c r="D107" s="118">
        <v>1388.905</v>
      </c>
      <c r="E107" s="118">
        <v>1327.3889999999999</v>
      </c>
      <c r="F107" s="118">
        <v>1376.24</v>
      </c>
      <c r="G107" s="118">
        <v>1267.242</v>
      </c>
      <c r="H107" s="118">
        <v>1238.471</v>
      </c>
      <c r="I107" s="118">
        <v>1105.5820000000001</v>
      </c>
      <c r="J107" s="118">
        <v>1143.4829999999999</v>
      </c>
      <c r="K107" s="118">
        <v>1195.604</v>
      </c>
      <c r="L107" s="118">
        <v>1231.009</v>
      </c>
      <c r="M107" s="118">
        <v>1187.9670000000001</v>
      </c>
      <c r="N107" s="118">
        <v>1115.366</v>
      </c>
      <c r="O107" s="118">
        <v>1202.9559999999999</v>
      </c>
      <c r="P107" s="161"/>
      <c r="Q107" s="161"/>
      <c r="R107" s="161"/>
    </row>
    <row r="108" spans="3:18" x14ac:dyDescent="0.35">
      <c r="C108" s="68" t="s">
        <v>151</v>
      </c>
      <c r="D108" s="159">
        <f>SUM(D109:D118)</f>
        <v>1380.6899999999998</v>
      </c>
      <c r="E108" s="159">
        <f t="shared" ref="E108" si="27">SUM(E109:E118)</f>
        <v>1318.9349999999999</v>
      </c>
      <c r="F108" s="159">
        <f t="shared" ref="F108" si="28">SUM(F109:F118)</f>
        <v>1368.5059999999999</v>
      </c>
      <c r="G108" s="159">
        <f t="shared" ref="G108" si="29">SUM(G109:G118)</f>
        <v>1258.79</v>
      </c>
      <c r="H108" s="159">
        <f t="shared" ref="H108" si="30">SUM(H109:H118)</f>
        <v>1230.02</v>
      </c>
      <c r="I108" s="159">
        <f t="shared" ref="I108" si="31">SUM(I109:I118)</f>
        <v>1098.8979999999999</v>
      </c>
      <c r="J108" s="159">
        <f t="shared" ref="J108" si="32">SUM(J109:J118)</f>
        <v>1136.7979999999998</v>
      </c>
      <c r="K108" s="159">
        <f t="shared" ref="K108" si="33">SUM(K109:K118)</f>
        <v>1188.789</v>
      </c>
      <c r="L108" s="159">
        <f t="shared" ref="L108" si="34">SUM(L109:L118)</f>
        <v>1224.1220000000001</v>
      </c>
      <c r="M108" s="159">
        <f t="shared" ref="M108" si="35">SUM(M109:M118)</f>
        <v>1180.6369999999999</v>
      </c>
      <c r="N108" s="159">
        <f t="shared" ref="N108" si="36">SUM(N109:N118)</f>
        <v>1107.9640000000002</v>
      </c>
      <c r="O108" s="159">
        <f t="shared" ref="O108" si="37">SUM(O109:O118)</f>
        <v>1196.0719999999999</v>
      </c>
      <c r="P108" s="161"/>
      <c r="Q108" s="161"/>
      <c r="R108" s="161"/>
    </row>
    <row r="109" spans="3:18" x14ac:dyDescent="0.35">
      <c r="C109" s="105" t="s">
        <v>140</v>
      </c>
      <c r="D109" s="118">
        <v>124.441</v>
      </c>
      <c r="E109" s="118">
        <v>106.836</v>
      </c>
      <c r="F109" s="118">
        <v>106.81399999999999</v>
      </c>
      <c r="G109" s="118">
        <v>101.69799999999999</v>
      </c>
      <c r="H109" s="118">
        <v>101.333</v>
      </c>
      <c r="I109" s="118">
        <v>98.087000000000003</v>
      </c>
      <c r="J109" s="118">
        <v>106.36199999999999</v>
      </c>
      <c r="K109" s="118">
        <v>111.346</v>
      </c>
      <c r="L109" s="118">
        <v>119.182</v>
      </c>
      <c r="M109" s="118">
        <v>110.732</v>
      </c>
      <c r="N109" s="118">
        <v>109.571</v>
      </c>
      <c r="O109" s="118">
        <v>115.401</v>
      </c>
      <c r="P109" s="159">
        <f>O109*(1+N94)</f>
        <v>102.4913245737467</v>
      </c>
      <c r="Q109" s="159">
        <f>P109*(1+O94)</f>
        <v>124.93446754067953</v>
      </c>
      <c r="R109" s="159">
        <f>Q109*(1+P94)</f>
        <v>110.05409636892163</v>
      </c>
    </row>
    <row r="110" spans="3:18" x14ac:dyDescent="0.35">
      <c r="C110" s="105" t="s">
        <v>163</v>
      </c>
      <c r="D110" s="118">
        <v>166.63800000000001</v>
      </c>
      <c r="E110" s="118">
        <v>152.36500000000001</v>
      </c>
      <c r="F110" s="118">
        <v>152.709</v>
      </c>
      <c r="G110" s="118">
        <v>153.31</v>
      </c>
      <c r="H110" s="118">
        <v>150.215</v>
      </c>
      <c r="I110" s="118">
        <v>151.24700000000001</v>
      </c>
      <c r="J110" s="118">
        <v>154.16999999999999</v>
      </c>
      <c r="K110" s="118">
        <v>142.43100000000001</v>
      </c>
      <c r="L110" s="118">
        <v>143.601</v>
      </c>
      <c r="M110" s="118">
        <v>141.821</v>
      </c>
      <c r="N110" s="118">
        <v>150.56</v>
      </c>
      <c r="O110" s="118">
        <v>154.42699999999999</v>
      </c>
      <c r="P110" s="161"/>
      <c r="Q110" s="161"/>
      <c r="R110" s="161"/>
    </row>
    <row r="111" spans="3:18" x14ac:dyDescent="0.35">
      <c r="C111" s="105" t="s">
        <v>204</v>
      </c>
      <c r="D111" s="118">
        <v>596.54200000000003</v>
      </c>
      <c r="E111" s="118">
        <v>623.00599999999997</v>
      </c>
      <c r="F111" s="118">
        <v>663.13199999999995</v>
      </c>
      <c r="G111" s="118">
        <v>575.73800000000006</v>
      </c>
      <c r="H111" s="118">
        <v>565.82600000000002</v>
      </c>
      <c r="I111" s="118">
        <v>456.91199999999998</v>
      </c>
      <c r="J111" s="118">
        <v>449.00599999999997</v>
      </c>
      <c r="K111" s="118">
        <v>503.798</v>
      </c>
      <c r="L111" s="118">
        <v>534.62199999999996</v>
      </c>
      <c r="M111" s="118">
        <v>508.40699999999998</v>
      </c>
      <c r="N111" s="118">
        <v>451.495</v>
      </c>
      <c r="O111" s="118">
        <v>460.28500000000003</v>
      </c>
      <c r="P111" s="161"/>
      <c r="Q111" s="161"/>
      <c r="R111" s="161"/>
    </row>
    <row r="112" spans="3:18" x14ac:dyDescent="0.35">
      <c r="C112" s="105" t="s">
        <v>205</v>
      </c>
      <c r="D112" s="118">
        <v>25.370999999999999</v>
      </c>
      <c r="E112" s="118">
        <v>25.370999999999999</v>
      </c>
      <c r="F112" s="118">
        <v>25.370999999999999</v>
      </c>
      <c r="G112" s="118">
        <v>25.370999999999999</v>
      </c>
      <c r="H112" s="118">
        <v>25.370999999999999</v>
      </c>
      <c r="I112" s="118">
        <v>25.370999999999999</v>
      </c>
      <c r="J112" s="118">
        <v>27.401</v>
      </c>
      <c r="K112" s="118">
        <v>30.03</v>
      </c>
      <c r="L112" s="118">
        <v>32.915999999999997</v>
      </c>
      <c r="M112" s="118">
        <v>32.881</v>
      </c>
      <c r="N112" s="118">
        <v>32.475000000000001</v>
      </c>
      <c r="O112" s="118">
        <v>31.876999999999999</v>
      </c>
      <c r="P112" s="161"/>
      <c r="Q112" s="161"/>
      <c r="R112" s="161"/>
    </row>
    <row r="113" spans="3:19" x14ac:dyDescent="0.35">
      <c r="C113" s="105" t="s">
        <v>206</v>
      </c>
      <c r="D113" s="118">
        <v>420.89400000000001</v>
      </c>
      <c r="E113" s="118">
        <v>367.05799999999999</v>
      </c>
      <c r="F113" s="118">
        <v>384.94799999999998</v>
      </c>
      <c r="G113" s="118">
        <v>368.27600000000001</v>
      </c>
      <c r="H113" s="118">
        <v>350.65</v>
      </c>
      <c r="I113" s="118">
        <v>336.79700000000003</v>
      </c>
      <c r="J113" s="118">
        <v>369.471</v>
      </c>
      <c r="K113" s="118">
        <v>372.43299999999999</v>
      </c>
      <c r="L113" s="118">
        <v>370.99200000000002</v>
      </c>
      <c r="M113" s="118">
        <v>367.29899999999998</v>
      </c>
      <c r="N113" s="118">
        <v>346.88900000000001</v>
      </c>
      <c r="O113" s="118">
        <v>416.08600000000001</v>
      </c>
      <c r="P113" s="161"/>
      <c r="Q113" s="161"/>
      <c r="R113" s="161"/>
    </row>
    <row r="114" spans="3:19" x14ac:dyDescent="0.35">
      <c r="C114" s="105" t="s">
        <v>160</v>
      </c>
      <c r="D114" s="118">
        <v>25.05</v>
      </c>
      <c r="E114" s="118">
        <v>22.545000000000002</v>
      </c>
      <c r="F114" s="118">
        <v>13.778</v>
      </c>
      <c r="G114" s="118">
        <v>12.643000000000001</v>
      </c>
      <c r="H114" s="118">
        <v>12.696</v>
      </c>
      <c r="I114" s="118">
        <v>11.993</v>
      </c>
      <c r="J114" s="118">
        <v>11.897</v>
      </c>
      <c r="K114" s="118">
        <v>9.7899999999999991</v>
      </c>
      <c r="L114" s="118">
        <v>6.5919999999999996</v>
      </c>
      <c r="M114" s="118">
        <v>4.6550000000000002</v>
      </c>
      <c r="N114" s="118">
        <v>1.3049999999999999</v>
      </c>
      <c r="O114" s="118">
        <v>1.2609999999999999</v>
      </c>
      <c r="P114" s="161"/>
      <c r="Q114" s="161"/>
      <c r="R114" s="161"/>
    </row>
    <row r="115" spans="3:19" x14ac:dyDescent="0.35">
      <c r="C115" s="105" t="s">
        <v>207</v>
      </c>
      <c r="D115" s="118">
        <v>21.754000000000001</v>
      </c>
      <c r="E115" s="118">
        <v>21.754000000000001</v>
      </c>
      <c r="F115" s="118">
        <v>21.754000000000001</v>
      </c>
      <c r="G115" s="118">
        <v>21.754000000000001</v>
      </c>
      <c r="H115" s="118">
        <v>23.928999999999998</v>
      </c>
      <c r="I115" s="118">
        <v>18.491</v>
      </c>
      <c r="J115" s="118">
        <v>18.491</v>
      </c>
      <c r="K115" s="118">
        <v>18.960999999999999</v>
      </c>
      <c r="L115" s="118">
        <v>16.216999999999999</v>
      </c>
      <c r="M115" s="118">
        <v>14.842000000000001</v>
      </c>
      <c r="N115" s="118">
        <v>15.669</v>
      </c>
      <c r="O115" s="118">
        <v>16.437000000000001</v>
      </c>
      <c r="P115" s="161"/>
      <c r="Q115" s="161"/>
      <c r="R115" s="161"/>
    </row>
    <row r="116" spans="3:19" x14ac:dyDescent="0.35">
      <c r="C116" s="105" t="s">
        <v>210</v>
      </c>
      <c r="D116" s="118">
        <v>0</v>
      </c>
      <c r="E116" s="118">
        <v>0</v>
      </c>
      <c r="F116" s="118">
        <v>0</v>
      </c>
      <c r="G116" s="118">
        <v>0</v>
      </c>
      <c r="H116" s="118">
        <v>0</v>
      </c>
      <c r="I116" s="118">
        <v>0</v>
      </c>
      <c r="J116" s="118">
        <v>0</v>
      </c>
      <c r="K116" s="118">
        <v>0</v>
      </c>
      <c r="L116" s="118">
        <v>0</v>
      </c>
      <c r="M116" s="118">
        <v>0</v>
      </c>
      <c r="N116" s="118">
        <v>0</v>
      </c>
      <c r="O116" s="118">
        <v>0.29799999999999999</v>
      </c>
      <c r="P116" s="161"/>
      <c r="Q116" s="161"/>
      <c r="R116" s="161"/>
    </row>
    <row r="117" spans="3:19" x14ac:dyDescent="0.35">
      <c r="C117" s="105" t="s">
        <v>208</v>
      </c>
      <c r="D117" s="118">
        <v>0</v>
      </c>
      <c r="E117" s="118">
        <v>0</v>
      </c>
      <c r="F117" s="118">
        <v>0</v>
      </c>
      <c r="G117" s="118">
        <v>0</v>
      </c>
      <c r="H117" s="118">
        <v>0</v>
      </c>
      <c r="I117" s="118">
        <v>0</v>
      </c>
      <c r="J117" s="118">
        <v>0</v>
      </c>
      <c r="K117" s="118">
        <v>0</v>
      </c>
      <c r="L117" s="118">
        <v>0</v>
      </c>
      <c r="M117" s="118">
        <v>0</v>
      </c>
      <c r="N117" s="118">
        <v>0</v>
      </c>
      <c r="O117" s="118">
        <v>0</v>
      </c>
      <c r="P117" s="161"/>
      <c r="Q117" s="161"/>
      <c r="R117" s="161"/>
    </row>
    <row r="118" spans="3:19" x14ac:dyDescent="0.35">
      <c r="C118" s="105" t="s">
        <v>209</v>
      </c>
      <c r="D118" s="118">
        <v>0</v>
      </c>
      <c r="E118" s="118">
        <v>0</v>
      </c>
      <c r="F118" s="118">
        <v>0</v>
      </c>
      <c r="G118" s="118">
        <v>0</v>
      </c>
      <c r="H118" s="118">
        <v>0</v>
      </c>
      <c r="I118" s="118">
        <v>0</v>
      </c>
      <c r="J118" s="118">
        <v>0</v>
      </c>
      <c r="K118" s="118">
        <v>0</v>
      </c>
      <c r="L118" s="118">
        <v>0</v>
      </c>
      <c r="M118" s="118">
        <v>0</v>
      </c>
      <c r="N118" s="118">
        <v>0</v>
      </c>
      <c r="O118" s="118">
        <v>0</v>
      </c>
      <c r="P118" s="161"/>
      <c r="Q118" s="161"/>
      <c r="R118" s="161"/>
    </row>
    <row r="119" spans="3:19" x14ac:dyDescent="0.35">
      <c r="C119" s="105"/>
      <c r="D119" s="118"/>
      <c r="E119" s="118"/>
      <c r="F119" s="118"/>
      <c r="G119" s="118"/>
      <c r="H119" s="118"/>
      <c r="I119" s="118"/>
      <c r="J119" s="118"/>
      <c r="K119" s="118"/>
      <c r="L119" s="118"/>
      <c r="M119" s="118"/>
      <c r="N119" s="118"/>
      <c r="O119" s="118"/>
      <c r="P119" s="161"/>
      <c r="Q119" s="161"/>
      <c r="R119" s="161"/>
    </row>
    <row r="121" spans="3:19" s="99" customFormat="1" ht="13.5" x14ac:dyDescent="0.35">
      <c r="D121" s="142" t="s">
        <v>70</v>
      </c>
      <c r="E121" s="142"/>
      <c r="F121" s="142"/>
      <c r="G121" s="142"/>
      <c r="H121" s="142"/>
      <c r="I121" s="142"/>
      <c r="J121" s="142"/>
      <c r="K121" s="142"/>
      <c r="L121" s="142"/>
      <c r="M121" s="142"/>
      <c r="N121" s="142"/>
      <c r="O121" s="142"/>
      <c r="P121" s="142"/>
      <c r="Q121" s="142"/>
      <c r="R121" s="142"/>
      <c r="S121" s="142"/>
    </row>
    <row r="123" spans="3:19" x14ac:dyDescent="0.35">
      <c r="C123" s="68" t="s">
        <v>259</v>
      </c>
    </row>
    <row r="125" spans="3:19" x14ac:dyDescent="0.35">
      <c r="C125" s="9"/>
      <c r="D125" s="9">
        <v>2005</v>
      </c>
      <c r="E125" s="9">
        <v>2010</v>
      </c>
      <c r="F125" s="9">
        <v>2015</v>
      </c>
      <c r="G125" s="9">
        <v>2020</v>
      </c>
      <c r="H125" s="9">
        <v>2025</v>
      </c>
      <c r="I125" s="9">
        <v>2030</v>
      </c>
      <c r="J125" s="9">
        <v>2035</v>
      </c>
      <c r="K125" s="9">
        <v>2040</v>
      </c>
      <c r="L125" s="9">
        <v>2045</v>
      </c>
      <c r="M125" s="9">
        <v>2050</v>
      </c>
      <c r="N125" s="9" t="s">
        <v>211</v>
      </c>
      <c r="O125" s="9" t="s">
        <v>212</v>
      </c>
      <c r="P125" s="9" t="s">
        <v>213</v>
      </c>
    </row>
    <row r="126" spans="3:19" x14ac:dyDescent="0.35">
      <c r="C126" s="68" t="s">
        <v>151</v>
      </c>
      <c r="D126" s="118">
        <v>24084.181986215117</v>
      </c>
      <c r="E126" s="118">
        <v>25320.750519708236</v>
      </c>
      <c r="F126" s="118">
        <v>23300.939979244038</v>
      </c>
      <c r="G126" s="118">
        <v>22996.301638751163</v>
      </c>
      <c r="H126" s="118">
        <v>23961.288264341787</v>
      </c>
      <c r="I126" s="118">
        <v>24018.85681471624</v>
      </c>
      <c r="J126" s="118">
        <v>22968.1216234733</v>
      </c>
      <c r="K126" s="118">
        <v>22279.988055773814</v>
      </c>
      <c r="L126" s="118">
        <v>22112.829464444545</v>
      </c>
      <c r="M126" s="118">
        <v>22230.086291867308</v>
      </c>
      <c r="N126" s="158">
        <f>(I126-G126)/G126</f>
        <v>4.4466070763394629E-2</v>
      </c>
      <c r="O126" s="158">
        <f>(K126-I126)/I126</f>
        <v>-7.2395983387395418E-2</v>
      </c>
      <c r="P126" s="158">
        <f>(M126-K126)/K126</f>
        <v>-2.2397572108919512E-3</v>
      </c>
    </row>
    <row r="127" spans="3:19" x14ac:dyDescent="0.35">
      <c r="C127" s="106" t="s">
        <v>160</v>
      </c>
      <c r="D127" s="107">
        <v>570.92966666666689</v>
      </c>
      <c r="E127" s="107">
        <v>528.35250000000008</v>
      </c>
      <c r="F127" s="107">
        <v>347.30944184982434</v>
      </c>
      <c r="G127" s="107">
        <v>251.35029475225815</v>
      </c>
      <c r="H127" s="107">
        <v>257.62423615858296</v>
      </c>
      <c r="I127" s="107">
        <v>289.95846074129588</v>
      </c>
      <c r="J127" s="107">
        <v>102.12997244887245</v>
      </c>
      <c r="K127" s="107">
        <v>54.025972994415724</v>
      </c>
      <c r="L127" s="107">
        <v>26.02664770221455</v>
      </c>
      <c r="M127" s="107">
        <v>21.931432872857037</v>
      </c>
      <c r="N127" s="158">
        <f t="shared" ref="N127:N128" si="38">(I127-G127)/G127</f>
        <v>0.15360302651362168</v>
      </c>
      <c r="O127" s="158">
        <f t="shared" ref="O127:O128" si="39">(K127-I127)/I127</f>
        <v>-0.81367685269022627</v>
      </c>
      <c r="P127" s="158">
        <f t="shared" ref="P127:P128" si="40">(M127-K127)/K127</f>
        <v>-0.59405760493894422</v>
      </c>
    </row>
    <row r="128" spans="3:19" x14ac:dyDescent="0.35">
      <c r="C128" s="106" t="s">
        <v>161</v>
      </c>
      <c r="D128" s="107">
        <v>7423.5607798575311</v>
      </c>
      <c r="E128" s="107">
        <v>6940.7497059435973</v>
      </c>
      <c r="F128" s="107">
        <v>5968.3899571546108</v>
      </c>
      <c r="G128" s="107">
        <v>5549.3350518909137</v>
      </c>
      <c r="H128" s="107">
        <v>5425.7562914041446</v>
      </c>
      <c r="I128" s="107">
        <v>4400.5426956022366</v>
      </c>
      <c r="J128" s="107">
        <v>3677.2522875070676</v>
      </c>
      <c r="K128" s="107">
        <v>2695.4203746374565</v>
      </c>
      <c r="L128" s="107">
        <v>2297.4272441336875</v>
      </c>
      <c r="M128" s="107">
        <v>2110.5526635148808</v>
      </c>
      <c r="N128" s="158">
        <f t="shared" si="38"/>
        <v>-0.20701441624023598</v>
      </c>
      <c r="O128" s="158">
        <f t="shared" si="39"/>
        <v>-0.38748000847005198</v>
      </c>
      <c r="P128" s="158">
        <f t="shared" si="40"/>
        <v>-0.21698571273923919</v>
      </c>
    </row>
    <row r="129" spans="3:18" x14ac:dyDescent="0.35">
      <c r="C129" s="106" t="s">
        <v>162</v>
      </c>
      <c r="D129" s="107">
        <v>983.04971797508745</v>
      </c>
      <c r="E129" s="107">
        <v>957.62128442935568</v>
      </c>
      <c r="F129" s="107">
        <v>551.09036493005362</v>
      </c>
      <c r="G129" s="107">
        <v>350.05875523371981</v>
      </c>
      <c r="H129" s="107">
        <v>212.14727806729698</v>
      </c>
      <c r="I129" s="107">
        <v>320.74419978039697</v>
      </c>
      <c r="J129" s="107">
        <v>406.85469532084647</v>
      </c>
      <c r="K129" s="107">
        <v>560.98236996335936</v>
      </c>
      <c r="L129" s="107">
        <v>633.04702380668004</v>
      </c>
      <c r="M129" s="107">
        <v>666.63935672882383</v>
      </c>
      <c r="N129" s="158">
        <f>(I129-G129)/G129</f>
        <v>-8.3741814809775911E-2</v>
      </c>
      <c r="O129" s="158">
        <f>(K129-I129)/I129</f>
        <v>0.74900238366725136</v>
      </c>
      <c r="P129" s="158">
        <f>(M129-K129)/K129</f>
        <v>0.18834279368238518</v>
      </c>
    </row>
    <row r="130" spans="3:18" x14ac:dyDescent="0.35">
      <c r="C130" s="106" t="s">
        <v>163</v>
      </c>
      <c r="D130" s="107">
        <v>6943.1660000015436</v>
      </c>
      <c r="E130" s="107">
        <v>7179.7079999999996</v>
      </c>
      <c r="F130" s="107">
        <v>6748.5789999999943</v>
      </c>
      <c r="G130" s="107">
        <v>6677.6817840867707</v>
      </c>
      <c r="H130" s="107">
        <v>7115.4710979665406</v>
      </c>
      <c r="I130" s="107">
        <v>7794.9547426663958</v>
      </c>
      <c r="J130" s="107">
        <v>7951.0518427551906</v>
      </c>
      <c r="K130" s="107">
        <v>8341.146632912285</v>
      </c>
      <c r="L130" s="107">
        <v>8534.7735149088949</v>
      </c>
      <c r="M130" s="107">
        <v>8705.2821307015674</v>
      </c>
      <c r="N130" s="158">
        <f t="shared" ref="N130:N135" si="41">(I130-G130)/G130</f>
        <v>0.16731449546489907</v>
      </c>
      <c r="O130" s="158">
        <f t="shared" ref="O130:O136" si="42">(K130-I130)/I130</f>
        <v>7.006992449311579E-2</v>
      </c>
      <c r="P130" s="158">
        <f t="shared" ref="P130:P136" si="43">(M130-K130)/K130</f>
        <v>4.3655328675374895E-2</v>
      </c>
    </row>
    <row r="131" spans="3:18" x14ac:dyDescent="0.35">
      <c r="C131" s="106" t="s">
        <v>164</v>
      </c>
      <c r="D131" s="107">
        <v>3845.3229999999999</v>
      </c>
      <c r="E131" s="107">
        <v>4554.1959999999999</v>
      </c>
      <c r="F131" s="107">
        <v>3830.492000001434</v>
      </c>
      <c r="G131" s="107">
        <v>3701.6304681947122</v>
      </c>
      <c r="H131" s="107">
        <v>4244.5551684814445</v>
      </c>
      <c r="I131" s="107">
        <v>4220.6695368060809</v>
      </c>
      <c r="J131" s="107">
        <v>4055.7814967028144</v>
      </c>
      <c r="K131" s="107">
        <v>4172.0701736813999</v>
      </c>
      <c r="L131" s="107">
        <v>4227.9023767944918</v>
      </c>
      <c r="M131" s="107">
        <v>4222.3564083323627</v>
      </c>
      <c r="N131" s="158">
        <f t="shared" si="41"/>
        <v>0.14021903943980243</v>
      </c>
      <c r="O131" s="158">
        <f t="shared" si="42"/>
        <v>-1.1514609874303926E-2</v>
      </c>
      <c r="P131" s="158">
        <f t="shared" si="43"/>
        <v>1.2053065398607772E-2</v>
      </c>
    </row>
    <row r="132" spans="3:18" x14ac:dyDescent="0.35">
      <c r="C132" s="106" t="s">
        <v>165</v>
      </c>
      <c r="D132" s="107">
        <v>4318.1528217142868</v>
      </c>
      <c r="E132" s="107">
        <v>5160.1230293352792</v>
      </c>
      <c r="F132" s="107">
        <v>5855.0792153081229</v>
      </c>
      <c r="G132" s="107">
        <v>6466.2350130918658</v>
      </c>
      <c r="H132" s="107">
        <v>6705.6415801999947</v>
      </c>
      <c r="I132" s="107">
        <v>6991.1745762253558</v>
      </c>
      <c r="J132" s="107">
        <v>6766.9683752118226</v>
      </c>
      <c r="K132" s="107">
        <v>6441.1985414417886</v>
      </c>
      <c r="L132" s="107">
        <v>6374.5230266263197</v>
      </c>
      <c r="M132" s="107">
        <v>6482.8817962227085</v>
      </c>
      <c r="N132" s="158">
        <f t="shared" si="41"/>
        <v>8.1181640022466084E-2</v>
      </c>
      <c r="O132" s="158">
        <f t="shared" si="42"/>
        <v>-7.8667186577467477E-2</v>
      </c>
      <c r="P132" s="158">
        <f t="shared" si="43"/>
        <v>6.471350714115638E-3</v>
      </c>
    </row>
    <row r="133" spans="3:18" x14ac:dyDescent="0.35">
      <c r="C133" s="117" t="s">
        <v>166</v>
      </c>
      <c r="D133" s="116">
        <v>4266.3140000000012</v>
      </c>
      <c r="E133" s="116">
        <v>4929.2313956209937</v>
      </c>
      <c r="F133" s="116">
        <v>5433.5812751365083</v>
      </c>
      <c r="G133" s="116">
        <v>5931.3258067481884</v>
      </c>
      <c r="H133" s="116">
        <v>6218.7569584625153</v>
      </c>
      <c r="I133" s="116">
        <v>6426.9198123095866</v>
      </c>
      <c r="J133" s="116">
        <v>6213.7178872048862</v>
      </c>
      <c r="K133" s="116">
        <v>5883.8491617165128</v>
      </c>
      <c r="L133" s="116">
        <v>5809.0534426421709</v>
      </c>
      <c r="M133" s="116">
        <v>5877.6732595778049</v>
      </c>
      <c r="N133" s="158">
        <f t="shared" si="41"/>
        <v>8.3555350305921663E-2</v>
      </c>
      <c r="O133" s="158">
        <f t="shared" si="42"/>
        <v>-8.4499366174278639E-2</v>
      </c>
      <c r="P133" s="158">
        <f t="shared" si="43"/>
        <v>-1.0496363807032372E-3</v>
      </c>
    </row>
    <row r="134" spans="3:18" x14ac:dyDescent="0.35">
      <c r="C134" s="117" t="s">
        <v>167</v>
      </c>
      <c r="D134" s="116">
        <v>0.47799999999999998</v>
      </c>
      <c r="E134" s="116">
        <v>0.93100000000000016</v>
      </c>
      <c r="F134" s="116">
        <v>1.4810000000000005</v>
      </c>
      <c r="G134" s="116">
        <v>2.2930628753061368</v>
      </c>
      <c r="H134" s="116">
        <v>9.1903757131882227</v>
      </c>
      <c r="I134" s="116">
        <v>17.150988473153138</v>
      </c>
      <c r="J134" s="116">
        <v>25.820446616417119</v>
      </c>
      <c r="K134" s="116">
        <v>35.061345538589535</v>
      </c>
      <c r="L134" s="116">
        <v>41.44313751468114</v>
      </c>
      <c r="M134" s="116">
        <v>42.957059735209263</v>
      </c>
      <c r="N134" s="158">
        <f t="shared" si="41"/>
        <v>6.4795107704420811</v>
      </c>
      <c r="O134" s="158">
        <f t="shared" si="42"/>
        <v>1.0442755001247839</v>
      </c>
      <c r="P134" s="158">
        <f t="shared" si="43"/>
        <v>0.22519712450651605</v>
      </c>
    </row>
    <row r="135" spans="3:18" x14ac:dyDescent="0.35">
      <c r="C135" s="117" t="s">
        <v>169</v>
      </c>
      <c r="D135" s="116">
        <v>51.360821714285706</v>
      </c>
      <c r="E135" s="116">
        <v>229.96063371428571</v>
      </c>
      <c r="F135" s="116">
        <v>420.01694017161509</v>
      </c>
      <c r="G135" s="116">
        <v>532.61614346837109</v>
      </c>
      <c r="H135" s="116">
        <v>477.69424602429069</v>
      </c>
      <c r="I135" s="116">
        <v>547.10377544261587</v>
      </c>
      <c r="J135" s="116">
        <v>527.43004139051959</v>
      </c>
      <c r="K135" s="116">
        <v>522.28803418668667</v>
      </c>
      <c r="L135" s="116">
        <v>524.02644646946726</v>
      </c>
      <c r="M135" s="116">
        <v>562.25147690969447</v>
      </c>
      <c r="N135" s="158">
        <f t="shared" si="41"/>
        <v>2.7200887828712824E-2</v>
      </c>
      <c r="O135" s="158">
        <f t="shared" si="42"/>
        <v>-4.5358380566562273E-2</v>
      </c>
      <c r="P135" s="158">
        <f t="shared" si="43"/>
        <v>7.6516098603023455E-2</v>
      </c>
    </row>
    <row r="136" spans="3:18" x14ac:dyDescent="0.35">
      <c r="C136" s="106" t="s">
        <v>170</v>
      </c>
      <c r="D136" s="107">
        <v>0</v>
      </c>
      <c r="E136" s="107">
        <v>0</v>
      </c>
      <c r="F136" s="107">
        <v>0</v>
      </c>
      <c r="G136" s="107">
        <v>1.0271500923540573E-2</v>
      </c>
      <c r="H136" s="107">
        <v>9.2612063787527954E-2</v>
      </c>
      <c r="I136" s="107">
        <v>0.81260289447805423</v>
      </c>
      <c r="J136" s="107">
        <v>8.0829535266861896</v>
      </c>
      <c r="K136" s="107">
        <v>15.143990143108406</v>
      </c>
      <c r="L136" s="107">
        <v>19.129630472257336</v>
      </c>
      <c r="M136" s="107">
        <v>20.442503494105438</v>
      </c>
      <c r="N136" s="158">
        <f>(I136-G136)/G136</f>
        <v>78.112380997377258</v>
      </c>
      <c r="O136" s="158">
        <f t="shared" si="42"/>
        <v>17.636396997866459</v>
      </c>
      <c r="P136" s="158">
        <f t="shared" si="43"/>
        <v>0.34987564710006319</v>
      </c>
    </row>
    <row r="137" spans="3:18" x14ac:dyDescent="0.35">
      <c r="C137" s="106" t="s">
        <v>171</v>
      </c>
      <c r="D137" s="107">
        <v>0</v>
      </c>
      <c r="E137" s="107">
        <v>0</v>
      </c>
      <c r="F137" s="107">
        <v>0</v>
      </c>
      <c r="G137" s="107">
        <v>0</v>
      </c>
      <c r="H137" s="107">
        <v>0</v>
      </c>
      <c r="I137" s="107">
        <v>0</v>
      </c>
      <c r="J137" s="107">
        <v>0</v>
      </c>
      <c r="K137" s="107">
        <v>0</v>
      </c>
      <c r="L137" s="107">
        <v>0</v>
      </c>
      <c r="M137" s="107">
        <v>0</v>
      </c>
      <c r="N137" s="158">
        <v>0</v>
      </c>
      <c r="O137" s="158">
        <v>0</v>
      </c>
      <c r="P137" s="158">
        <v>0</v>
      </c>
    </row>
    <row r="139" spans="3:18" x14ac:dyDescent="0.35">
      <c r="C139" s="68" t="s">
        <v>260</v>
      </c>
    </row>
    <row r="141" spans="3:18" x14ac:dyDescent="0.35">
      <c r="C141" s="9"/>
      <c r="D141" s="9">
        <v>2010</v>
      </c>
      <c r="E141" s="9">
        <v>2011</v>
      </c>
      <c r="F141" s="9">
        <v>2012</v>
      </c>
      <c r="G141" s="9">
        <v>2013</v>
      </c>
      <c r="H141" s="9">
        <v>2014</v>
      </c>
      <c r="I141" s="9">
        <v>2015</v>
      </c>
      <c r="J141" s="9">
        <v>2016</v>
      </c>
      <c r="K141" s="9">
        <v>2017</v>
      </c>
      <c r="L141" s="9">
        <v>2018</v>
      </c>
      <c r="M141" s="9">
        <v>2019</v>
      </c>
      <c r="N141" s="9">
        <v>2020</v>
      </c>
      <c r="O141" s="9">
        <v>2021</v>
      </c>
      <c r="P141" s="9">
        <v>2030</v>
      </c>
      <c r="Q141" s="9">
        <v>2040</v>
      </c>
      <c r="R141" s="9">
        <v>2050</v>
      </c>
    </row>
    <row r="142" spans="3:18" x14ac:dyDescent="0.35">
      <c r="C142" s="68" t="s">
        <v>151</v>
      </c>
      <c r="D142" s="118">
        <v>5811.348</v>
      </c>
      <c r="E142" s="118">
        <v>5091.152</v>
      </c>
      <c r="F142" s="118">
        <v>5455.6350000000002</v>
      </c>
      <c r="G142" s="118">
        <v>5172.7340000000004</v>
      </c>
      <c r="H142" s="118">
        <v>5126.2</v>
      </c>
      <c r="I142" s="118">
        <v>4950.9750000000004</v>
      </c>
      <c r="J142" s="118">
        <v>5342.2349999999997</v>
      </c>
      <c r="K142" s="118">
        <v>5761.4350000000004</v>
      </c>
      <c r="L142" s="118">
        <v>5691.11</v>
      </c>
      <c r="M142" s="118">
        <v>5631.0349999999999</v>
      </c>
      <c r="N142" s="118">
        <v>5284.8130000000001</v>
      </c>
      <c r="O142" s="118">
        <v>6012.7280000000001</v>
      </c>
      <c r="P142" s="161"/>
      <c r="Q142" s="161"/>
      <c r="R142" s="161"/>
    </row>
    <row r="143" spans="3:18" x14ac:dyDescent="0.35">
      <c r="C143" s="68" t="s">
        <v>151</v>
      </c>
      <c r="D143" s="159">
        <f>SUM(D144:D153)</f>
        <v>5725.7349999999997</v>
      </c>
      <c r="E143" s="159">
        <f t="shared" ref="E143" si="44">SUM(E144:E153)</f>
        <v>5011.1849999999995</v>
      </c>
      <c r="F143" s="159">
        <f t="shared" ref="F143" si="45">SUM(F144:F153)</f>
        <v>5379.018</v>
      </c>
      <c r="G143" s="159">
        <f t="shared" ref="G143" si="46">SUM(G144:G153)</f>
        <v>5103.3110000000006</v>
      </c>
      <c r="H143" s="159">
        <f t="shared" ref="H143" si="47">SUM(H144:H153)</f>
        <v>5059.1619999999994</v>
      </c>
      <c r="I143" s="159">
        <f t="shared" ref="I143" si="48">SUM(I144:I153)</f>
        <v>4887.1289999999999</v>
      </c>
      <c r="J143" s="159">
        <f t="shared" ref="J143" si="49">SUM(J144:J153)</f>
        <v>5281.0749999999998</v>
      </c>
      <c r="K143" s="159">
        <f t="shared" ref="K143" si="50">SUM(K144:K153)</f>
        <v>5706.7060000000001</v>
      </c>
      <c r="L143" s="159">
        <f t="shared" ref="L143" si="51">SUM(L144:L153)</f>
        <v>5638.3970000000008</v>
      </c>
      <c r="M143" s="159">
        <f t="shared" ref="M143" si="52">SUM(M144:M153)</f>
        <v>5582.2039999999997</v>
      </c>
      <c r="N143" s="159">
        <f t="shared" ref="N143" si="53">SUM(N144:N153)</f>
        <v>5237.5400000000009</v>
      </c>
      <c r="O143" s="159">
        <f t="shared" ref="O143" si="54">SUM(O144:O153)</f>
        <v>5959.7220000000016</v>
      </c>
      <c r="P143" s="161"/>
      <c r="Q143" s="161"/>
      <c r="R143" s="161"/>
    </row>
    <row r="144" spans="3:18" x14ac:dyDescent="0.35">
      <c r="C144" s="105" t="s">
        <v>140</v>
      </c>
      <c r="D144" s="118">
        <v>46.043999999999997</v>
      </c>
      <c r="E144" s="118">
        <v>30.933</v>
      </c>
      <c r="F144" s="118">
        <v>33.319000000000003</v>
      </c>
      <c r="G144" s="118">
        <v>29.449000000000002</v>
      </c>
      <c r="H144" s="118">
        <v>28.675999999999998</v>
      </c>
      <c r="I144" s="118">
        <v>25.364999999999998</v>
      </c>
      <c r="J144" s="118">
        <v>26.225999999999999</v>
      </c>
      <c r="K144" s="118">
        <v>25.9</v>
      </c>
      <c r="L144" s="118">
        <v>24.507999999999999</v>
      </c>
      <c r="M144" s="118">
        <v>26.658000000000001</v>
      </c>
      <c r="N144" s="118">
        <v>23.949000000000002</v>
      </c>
      <c r="O144" s="118">
        <v>31.925000000000001</v>
      </c>
      <c r="P144" s="159">
        <f>O144*(1+N129)</f>
        <v>29.251542562197905</v>
      </c>
      <c r="Q144" s="159">
        <f>P144*(1+O129)</f>
        <v>51.161017667228187</v>
      </c>
      <c r="R144" s="159">
        <f>Q144*(1+P129)</f>
        <v>60.796826662307808</v>
      </c>
    </row>
    <row r="145" spans="3:19" x14ac:dyDescent="0.35">
      <c r="C145" s="105" t="s">
        <v>163</v>
      </c>
      <c r="D145" s="118">
        <v>1969.39</v>
      </c>
      <c r="E145" s="118">
        <v>1842.3040000000001</v>
      </c>
      <c r="F145" s="118">
        <v>1924.5060000000001</v>
      </c>
      <c r="G145" s="118">
        <v>1849.527</v>
      </c>
      <c r="H145" s="118">
        <v>1828.375</v>
      </c>
      <c r="I145" s="118">
        <v>1798.624</v>
      </c>
      <c r="J145" s="118">
        <v>1936.1990000000001</v>
      </c>
      <c r="K145" s="118">
        <v>1935.684</v>
      </c>
      <c r="L145" s="118">
        <v>1954.5139999999999</v>
      </c>
      <c r="M145" s="118">
        <v>1938.607</v>
      </c>
      <c r="N145" s="118">
        <v>1895.0989999999999</v>
      </c>
      <c r="O145" s="118">
        <v>2086.0709999999999</v>
      </c>
      <c r="P145" s="161"/>
      <c r="Q145" s="161"/>
      <c r="R145" s="161"/>
    </row>
    <row r="146" spans="3:19" x14ac:dyDescent="0.35">
      <c r="C146" s="105" t="s">
        <v>204</v>
      </c>
      <c r="D146" s="118">
        <v>1421.8969999999999</v>
      </c>
      <c r="E146" s="118">
        <v>1217.4929999999999</v>
      </c>
      <c r="F146" s="118">
        <v>1329.56</v>
      </c>
      <c r="G146" s="118">
        <v>1251.433</v>
      </c>
      <c r="H146" s="118">
        <v>1267.269</v>
      </c>
      <c r="I146" s="118">
        <v>1195.1130000000001</v>
      </c>
      <c r="J146" s="118">
        <v>1300.396</v>
      </c>
      <c r="K146" s="118">
        <v>1273.5260000000001</v>
      </c>
      <c r="L146" s="118">
        <v>1251.385</v>
      </c>
      <c r="M146" s="118">
        <v>1229.961</v>
      </c>
      <c r="N146" s="118">
        <v>1131.079</v>
      </c>
      <c r="O146" s="118">
        <v>1268.5340000000001</v>
      </c>
      <c r="P146" s="161"/>
      <c r="Q146" s="161"/>
      <c r="R146" s="161"/>
    </row>
    <row r="147" spans="3:19" x14ac:dyDescent="0.35">
      <c r="C147" s="105" t="s">
        <v>205</v>
      </c>
      <c r="D147" s="118">
        <v>540.59900000000005</v>
      </c>
      <c r="E147" s="118">
        <v>404.62599999999998</v>
      </c>
      <c r="F147" s="118">
        <v>426.08300000000003</v>
      </c>
      <c r="G147" s="118">
        <v>368.358</v>
      </c>
      <c r="H147" s="118">
        <v>355.976</v>
      </c>
      <c r="I147" s="118">
        <v>315.32600000000002</v>
      </c>
      <c r="J147" s="118">
        <v>327.38799999999998</v>
      </c>
      <c r="K147" s="118">
        <v>304.90199999999999</v>
      </c>
      <c r="L147" s="118">
        <v>278.101</v>
      </c>
      <c r="M147" s="118">
        <v>252.52799999999999</v>
      </c>
      <c r="N147" s="118">
        <v>219.69399999999999</v>
      </c>
      <c r="O147" s="118">
        <v>240.58799999999999</v>
      </c>
      <c r="P147" s="161"/>
      <c r="Q147" s="161"/>
      <c r="R147" s="161"/>
    </row>
    <row r="148" spans="3:19" x14ac:dyDescent="0.35">
      <c r="C148" s="105" t="s">
        <v>206</v>
      </c>
      <c r="D148" s="118">
        <v>1740.7570000000001</v>
      </c>
      <c r="E148" s="118">
        <v>1509.7929999999999</v>
      </c>
      <c r="F148" s="118">
        <v>1660.528</v>
      </c>
      <c r="G148" s="118">
        <v>1598.2850000000001</v>
      </c>
      <c r="H148" s="118">
        <v>1572.49</v>
      </c>
      <c r="I148" s="118">
        <v>1545.691</v>
      </c>
      <c r="J148" s="118">
        <v>1684.7950000000001</v>
      </c>
      <c r="K148" s="118">
        <v>1660.3610000000001</v>
      </c>
      <c r="L148" s="118">
        <v>1610.1559999999999</v>
      </c>
      <c r="M148" s="118">
        <v>1592.1469999999999</v>
      </c>
      <c r="N148" s="118">
        <v>1460.184</v>
      </c>
      <c r="O148" s="118">
        <v>1692.8679999999999</v>
      </c>
      <c r="P148" s="161"/>
      <c r="Q148" s="161"/>
      <c r="R148" s="161"/>
    </row>
    <row r="149" spans="3:19" x14ac:dyDescent="0.35">
      <c r="C149" s="105" t="s">
        <v>160</v>
      </c>
      <c r="D149" s="118">
        <v>0.6</v>
      </c>
      <c r="E149" s="118">
        <v>0.59499999999999997</v>
      </c>
      <c r="F149" s="118">
        <v>0.58899999999999997</v>
      </c>
      <c r="G149" s="118">
        <v>0.59399999999999997</v>
      </c>
      <c r="H149" s="118">
        <v>0.59199999999999997</v>
      </c>
      <c r="I149" s="118">
        <v>0</v>
      </c>
      <c r="J149" s="118">
        <v>0</v>
      </c>
      <c r="K149" s="118">
        <v>0</v>
      </c>
      <c r="L149" s="118">
        <v>0</v>
      </c>
      <c r="M149" s="118">
        <v>0</v>
      </c>
      <c r="N149" s="118">
        <v>0</v>
      </c>
      <c r="O149" s="118">
        <v>0</v>
      </c>
      <c r="P149" s="161"/>
      <c r="Q149" s="161"/>
      <c r="R149" s="161"/>
    </row>
    <row r="150" spans="3:19" x14ac:dyDescent="0.35">
      <c r="C150" s="105" t="s">
        <v>207</v>
      </c>
      <c r="D150" s="118">
        <v>5.5170000000000003</v>
      </c>
      <c r="E150" s="118">
        <v>4.4139999999999997</v>
      </c>
      <c r="F150" s="118">
        <v>3.31</v>
      </c>
      <c r="G150" s="118">
        <v>4.423</v>
      </c>
      <c r="H150" s="118">
        <v>4.423</v>
      </c>
      <c r="I150" s="118">
        <v>5.5289999999999999</v>
      </c>
      <c r="J150" s="118">
        <v>4.423</v>
      </c>
      <c r="K150" s="118">
        <v>4.423</v>
      </c>
      <c r="L150" s="118">
        <v>4.423</v>
      </c>
      <c r="M150" s="118">
        <v>4.423</v>
      </c>
      <c r="N150" s="118">
        <v>5.5289999999999999</v>
      </c>
      <c r="O150" s="118">
        <v>5.5289999999999999</v>
      </c>
      <c r="P150" s="161"/>
      <c r="Q150" s="161"/>
      <c r="R150" s="161"/>
    </row>
    <row r="151" spans="3:19" x14ac:dyDescent="0.35">
      <c r="C151" s="105" t="s">
        <v>210</v>
      </c>
      <c r="D151" s="118">
        <v>0</v>
      </c>
      <c r="E151" s="118">
        <v>0</v>
      </c>
      <c r="F151" s="118">
        <v>0</v>
      </c>
      <c r="G151" s="118">
        <v>0</v>
      </c>
      <c r="H151" s="118">
        <v>0</v>
      </c>
      <c r="I151" s="118">
        <v>0</v>
      </c>
      <c r="J151" s="118">
        <v>0</v>
      </c>
      <c r="K151" s="118">
        <v>500.11900000000003</v>
      </c>
      <c r="L151" s="118">
        <v>513.32799999999997</v>
      </c>
      <c r="M151" s="118">
        <v>535.70699999999999</v>
      </c>
      <c r="N151" s="118">
        <v>499.61799999999999</v>
      </c>
      <c r="O151" s="118">
        <v>631.58000000000004</v>
      </c>
      <c r="P151" s="161"/>
      <c r="Q151" s="161"/>
      <c r="R151" s="161"/>
    </row>
    <row r="152" spans="3:19" x14ac:dyDescent="0.35">
      <c r="C152" s="105" t="s">
        <v>208</v>
      </c>
      <c r="D152" s="118">
        <v>0</v>
      </c>
      <c r="E152" s="118">
        <v>0</v>
      </c>
      <c r="F152" s="118">
        <v>0</v>
      </c>
      <c r="G152" s="118">
        <v>0</v>
      </c>
      <c r="H152" s="118">
        <v>0</v>
      </c>
      <c r="I152" s="118">
        <v>0</v>
      </c>
      <c r="J152" s="118">
        <v>0</v>
      </c>
      <c r="K152" s="118">
        <v>0</v>
      </c>
      <c r="L152" s="118">
        <v>0</v>
      </c>
      <c r="M152" s="118">
        <v>0</v>
      </c>
      <c r="N152" s="118">
        <v>0</v>
      </c>
      <c r="O152" s="118">
        <v>0</v>
      </c>
      <c r="P152" s="161"/>
      <c r="Q152" s="161"/>
      <c r="R152" s="161"/>
    </row>
    <row r="153" spans="3:19" x14ac:dyDescent="0.35">
      <c r="C153" s="105" t="s">
        <v>209</v>
      </c>
      <c r="D153" s="118">
        <v>0.93100000000000005</v>
      </c>
      <c r="E153" s="118">
        <v>1.0269999999999999</v>
      </c>
      <c r="F153" s="118">
        <v>1.123</v>
      </c>
      <c r="G153" s="118">
        <v>1.242</v>
      </c>
      <c r="H153" s="118">
        <v>1.361</v>
      </c>
      <c r="I153" s="118">
        <v>1.4810000000000001</v>
      </c>
      <c r="J153" s="118">
        <v>1.6479999999999999</v>
      </c>
      <c r="K153" s="118">
        <v>1.7909999999999999</v>
      </c>
      <c r="L153" s="118">
        <v>1.982</v>
      </c>
      <c r="M153" s="118">
        <v>2.173</v>
      </c>
      <c r="N153" s="118">
        <v>2.3879999999999999</v>
      </c>
      <c r="O153" s="118">
        <v>2.6269999999999998</v>
      </c>
      <c r="P153" s="161"/>
      <c r="Q153" s="161"/>
      <c r="R153" s="161"/>
    </row>
    <row r="156" spans="3:19" ht="15" thickBot="1" x14ac:dyDescent="0.4">
      <c r="C156" s="1" t="s">
        <v>244</v>
      </c>
      <c r="D156" s="1"/>
      <c r="E156" s="1"/>
      <c r="F156" s="1"/>
      <c r="G156" s="1"/>
      <c r="H156" s="1"/>
      <c r="I156" s="1"/>
      <c r="J156" s="1"/>
      <c r="K156" s="1"/>
      <c r="L156" s="1"/>
      <c r="M156" s="1"/>
      <c r="N156" s="1"/>
      <c r="O156" s="1"/>
      <c r="P156" s="1"/>
      <c r="Q156" s="1"/>
      <c r="R156" s="1"/>
      <c r="S156" s="1"/>
    </row>
    <row r="158" spans="3:19" ht="13.5" x14ac:dyDescent="0.35">
      <c r="D158" s="5" t="s">
        <v>177</v>
      </c>
      <c r="E158" s="5"/>
      <c r="F158" s="5"/>
      <c r="G158" s="5"/>
      <c r="H158" s="5"/>
      <c r="I158" s="5"/>
      <c r="J158" s="5"/>
      <c r="K158" s="5"/>
      <c r="L158" s="5"/>
      <c r="M158" s="5"/>
      <c r="N158" s="5"/>
      <c r="O158" s="5"/>
      <c r="P158" s="5"/>
      <c r="Q158" s="5"/>
      <c r="R158" s="5"/>
      <c r="S158" s="5"/>
    </row>
    <row r="160" spans="3:19" x14ac:dyDescent="0.35">
      <c r="C160" s="9"/>
      <c r="D160" s="9">
        <v>2030</v>
      </c>
      <c r="E160" s="9">
        <v>2040</v>
      </c>
      <c r="F160" s="9">
        <v>2050</v>
      </c>
    </row>
    <row r="161" spans="3:19" x14ac:dyDescent="0.35">
      <c r="C161" t="s">
        <v>67</v>
      </c>
      <c r="D161" s="159">
        <f>P39</f>
        <v>55.418533230727832</v>
      </c>
      <c r="E161" s="159">
        <f t="shared" ref="E161:F161" si="55">Q39</f>
        <v>55.392606852566345</v>
      </c>
      <c r="F161" s="159">
        <f t="shared" si="55"/>
        <v>54.999421862227564</v>
      </c>
    </row>
    <row r="162" spans="3:19" x14ac:dyDescent="0.35">
      <c r="C162" t="s">
        <v>69</v>
      </c>
      <c r="D162" s="159">
        <f>P74</f>
        <v>159.82913845617958</v>
      </c>
      <c r="E162" s="159">
        <f t="shared" ref="E162:F162" si="56">Q74</f>
        <v>133.20173675307643</v>
      </c>
      <c r="F162" s="159">
        <f t="shared" si="56"/>
        <v>132.522756789395</v>
      </c>
    </row>
    <row r="163" spans="3:19" x14ac:dyDescent="0.35">
      <c r="C163" t="s">
        <v>68</v>
      </c>
      <c r="D163" s="159">
        <f>P109</f>
        <v>102.4913245737467</v>
      </c>
      <c r="E163" s="159">
        <f t="shared" ref="E163:F163" si="57">Q109</f>
        <v>124.93446754067953</v>
      </c>
      <c r="F163" s="159">
        <f t="shared" si="57"/>
        <v>110.05409636892163</v>
      </c>
    </row>
    <row r="164" spans="3:19" x14ac:dyDescent="0.35">
      <c r="C164" t="s">
        <v>70</v>
      </c>
      <c r="D164" s="159">
        <f>P144</f>
        <v>29.251542562197905</v>
      </c>
      <c r="E164" s="159">
        <f t="shared" ref="E164:F164" si="58">Q144</f>
        <v>51.161017667228187</v>
      </c>
      <c r="F164" s="159">
        <f t="shared" si="58"/>
        <v>60.796826662307808</v>
      </c>
    </row>
    <row r="166" spans="3:19" ht="13.5" x14ac:dyDescent="0.35">
      <c r="D166" s="5" t="s">
        <v>178</v>
      </c>
      <c r="E166" s="5"/>
      <c r="F166" s="5"/>
      <c r="G166" s="5"/>
      <c r="H166" s="5"/>
      <c r="I166" s="5"/>
      <c r="J166" s="5"/>
      <c r="K166" s="5"/>
      <c r="L166" s="5"/>
      <c r="M166" s="5"/>
      <c r="N166" s="5"/>
      <c r="O166" s="5"/>
      <c r="P166" s="5"/>
      <c r="Q166" s="5"/>
      <c r="R166" s="5"/>
      <c r="S166" s="5"/>
    </row>
    <row r="168" spans="3:19" x14ac:dyDescent="0.35">
      <c r="C168" s="9"/>
      <c r="D168" s="9" t="s">
        <v>176</v>
      </c>
    </row>
    <row r="169" spans="3:19" x14ac:dyDescent="0.35">
      <c r="C169" t="s">
        <v>174</v>
      </c>
      <c r="D169" s="26">
        <v>1</v>
      </c>
    </row>
    <row r="170" spans="3:19" x14ac:dyDescent="0.35">
      <c r="C170" t="s">
        <v>175</v>
      </c>
      <c r="D170" s="26">
        <v>11630</v>
      </c>
    </row>
    <row r="172" spans="3:19" x14ac:dyDescent="0.35">
      <c r="C172" s="9"/>
      <c r="D172" s="9">
        <v>2030</v>
      </c>
      <c r="E172" s="9">
        <v>2040</v>
      </c>
      <c r="F172" s="9">
        <v>2050</v>
      </c>
    </row>
    <row r="173" spans="3:19" x14ac:dyDescent="0.35">
      <c r="C173" t="s">
        <v>67</v>
      </c>
      <c r="D173" s="160">
        <f>D161*$D$170</f>
        <v>644517.54147336469</v>
      </c>
      <c r="E173" s="160">
        <f t="shared" ref="E173:F173" si="59">E161*$D$170</f>
        <v>644216.01769534661</v>
      </c>
      <c r="F173" s="160">
        <f t="shared" si="59"/>
        <v>639643.27625770657</v>
      </c>
    </row>
    <row r="174" spans="3:19" x14ac:dyDescent="0.35">
      <c r="C174" t="s">
        <v>69</v>
      </c>
      <c r="D174" s="160">
        <f t="shared" ref="D174:F176" si="60">D162*$D$170</f>
        <v>1858812.8802453685</v>
      </c>
      <c r="E174" s="160">
        <f t="shared" si="60"/>
        <v>1549136.1984382789</v>
      </c>
      <c r="F174" s="160">
        <f t="shared" si="60"/>
        <v>1541239.6614606639</v>
      </c>
    </row>
    <row r="175" spans="3:19" x14ac:dyDescent="0.35">
      <c r="C175" t="s">
        <v>68</v>
      </c>
      <c r="D175" s="160">
        <f t="shared" si="60"/>
        <v>1191974.1047926741</v>
      </c>
      <c r="E175" s="160">
        <f t="shared" si="60"/>
        <v>1452987.8574981031</v>
      </c>
      <c r="F175" s="160">
        <f t="shared" si="60"/>
        <v>1279929.1407705585</v>
      </c>
    </row>
    <row r="176" spans="3:19" x14ac:dyDescent="0.35">
      <c r="C176" t="s">
        <v>70</v>
      </c>
      <c r="D176" s="160">
        <f t="shared" si="60"/>
        <v>340195.43999836163</v>
      </c>
      <c r="E176" s="160">
        <f t="shared" si="60"/>
        <v>595002.63546986377</v>
      </c>
      <c r="F176" s="160">
        <f t="shared" si="60"/>
        <v>707067.09408263979</v>
      </c>
    </row>
  </sheetData>
  <mergeCells count="4">
    <mergeCell ref="H8:K8"/>
    <mergeCell ref="L8:O8"/>
    <mergeCell ref="P8:S8"/>
    <mergeCell ref="D8:G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3E27-2045-471C-AEFD-58EE964F6763}">
  <sheetPr>
    <tabColor theme="7"/>
  </sheetPr>
  <dimension ref="B2:AE163"/>
  <sheetViews>
    <sheetView showGridLines="0" zoomScale="102" workbookViewId="0">
      <selection activeCell="E12" sqref="E12"/>
    </sheetView>
  </sheetViews>
  <sheetFormatPr defaultRowHeight="12" x14ac:dyDescent="0.35"/>
  <cols>
    <col min="3" max="3" width="42.625" customWidth="1"/>
    <col min="4" max="18" width="16.375" customWidth="1"/>
  </cols>
  <sheetData>
    <row r="2" spans="2:31" ht="16" thickBot="1" x14ac:dyDescent="0.4">
      <c r="B2" s="2" t="s">
        <v>220</v>
      </c>
      <c r="C2" s="2"/>
      <c r="D2" s="2"/>
      <c r="E2" s="2"/>
      <c r="F2" s="2"/>
      <c r="G2" s="2"/>
      <c r="H2" s="2"/>
      <c r="I2" s="2"/>
      <c r="J2" s="2"/>
      <c r="K2" s="2"/>
      <c r="L2" s="2"/>
      <c r="M2" s="2"/>
      <c r="N2" s="2"/>
      <c r="O2" s="2"/>
      <c r="P2" s="2"/>
      <c r="Q2" s="2"/>
      <c r="R2" s="2"/>
      <c r="S2" s="2"/>
      <c r="T2" s="2"/>
      <c r="U2" s="2"/>
      <c r="V2" s="2"/>
      <c r="W2" s="2"/>
      <c r="X2" s="2"/>
      <c r="Y2" s="2"/>
      <c r="Z2" s="2"/>
      <c r="AA2" s="2"/>
    </row>
    <row r="3" spans="2:31" ht="12.5" thickTop="1" x14ac:dyDescent="0.35"/>
    <row r="4" spans="2:31" ht="15" thickBot="1" x14ac:dyDescent="0.4">
      <c r="C4" s="1" t="s">
        <v>228</v>
      </c>
      <c r="D4" s="1"/>
      <c r="E4" s="1"/>
      <c r="F4" s="1"/>
      <c r="G4" s="1"/>
      <c r="H4" s="1"/>
      <c r="I4" s="1"/>
      <c r="J4" s="1"/>
      <c r="K4" s="1"/>
      <c r="L4" s="1"/>
      <c r="M4" s="1"/>
      <c r="N4" s="1"/>
      <c r="O4" s="1"/>
      <c r="P4" s="1"/>
      <c r="Q4" s="1"/>
      <c r="R4" s="1"/>
      <c r="S4" s="1"/>
      <c r="T4" s="1"/>
      <c r="U4" s="1"/>
      <c r="V4" s="1"/>
      <c r="W4" s="1"/>
      <c r="X4" s="1"/>
      <c r="Y4" s="1"/>
      <c r="Z4" s="1"/>
      <c r="AA4" s="1"/>
      <c r="AB4" s="1"/>
      <c r="AC4" s="1"/>
      <c r="AD4" s="1"/>
      <c r="AE4" s="1"/>
    </row>
    <row r="6" spans="2:31" x14ac:dyDescent="0.35">
      <c r="C6" t="s">
        <v>230</v>
      </c>
    </row>
    <row r="8" spans="2:31" x14ac:dyDescent="0.35">
      <c r="D8" s="147" t="s">
        <v>246</v>
      </c>
      <c r="E8" s="147" t="s">
        <v>253</v>
      </c>
      <c r="F8" s="147" t="s">
        <v>246</v>
      </c>
      <c r="G8" s="147" t="s">
        <v>229</v>
      </c>
    </row>
    <row r="9" spans="2:31" s="99" customFormat="1" x14ac:dyDescent="0.35">
      <c r="C9" s="143"/>
      <c r="D9" s="224">
        <v>2021</v>
      </c>
      <c r="E9" s="224"/>
      <c r="F9" s="224"/>
      <c r="G9" s="224"/>
    </row>
    <row r="10" spans="2:31" s="99" customFormat="1" x14ac:dyDescent="0.35">
      <c r="C10" s="143"/>
      <c r="D10" s="143" t="s">
        <v>67</v>
      </c>
      <c r="E10" s="143" t="s">
        <v>68</v>
      </c>
      <c r="F10" s="143" t="s">
        <v>69</v>
      </c>
      <c r="G10" s="143" t="s">
        <v>70</v>
      </c>
    </row>
    <row r="11" spans="2:31" s="99" customFormat="1" x14ac:dyDescent="0.35">
      <c r="C11" s="144" t="s">
        <v>215</v>
      </c>
      <c r="D11" s="145">
        <v>8454</v>
      </c>
      <c r="E11" s="145">
        <f>AVERAGE(D11,F11)</f>
        <v>8302</v>
      </c>
      <c r="F11" s="145">
        <v>8150</v>
      </c>
      <c r="G11" s="145">
        <f>1120+99+16</f>
        <v>1235</v>
      </c>
    </row>
    <row r="13" spans="2:31" ht="15" thickBot="1" x14ac:dyDescent="0.4">
      <c r="C13" s="1" t="s">
        <v>245</v>
      </c>
      <c r="D13" s="1"/>
      <c r="E13" s="1"/>
      <c r="F13" s="1"/>
      <c r="G13" s="1"/>
      <c r="H13" s="1"/>
      <c r="I13" s="1"/>
      <c r="J13" s="1"/>
      <c r="K13" s="1"/>
      <c r="L13" s="1"/>
      <c r="M13" s="1"/>
      <c r="N13" s="1"/>
      <c r="O13" s="1"/>
      <c r="P13" s="1"/>
      <c r="Q13" s="1"/>
      <c r="R13" s="1"/>
      <c r="S13" s="1"/>
      <c r="T13" s="1"/>
      <c r="U13" s="1"/>
      <c r="V13" s="1"/>
      <c r="W13" s="1"/>
      <c r="X13" s="1"/>
      <c r="Y13" s="1"/>
      <c r="Z13" s="1"/>
      <c r="AA13" s="1"/>
    </row>
    <row r="15" spans="2:31" s="99" customFormat="1" ht="13.5" x14ac:dyDescent="0.35">
      <c r="D15" s="142" t="s">
        <v>67</v>
      </c>
      <c r="E15" s="142"/>
      <c r="F15" s="142"/>
      <c r="G15" s="142"/>
      <c r="H15" s="142"/>
      <c r="I15" s="142"/>
      <c r="J15" s="142"/>
      <c r="K15" s="142"/>
      <c r="L15" s="142"/>
      <c r="M15" s="142"/>
      <c r="N15" s="142"/>
      <c r="O15" s="142"/>
      <c r="P15" s="142"/>
      <c r="Q15" s="142"/>
      <c r="R15" s="142"/>
      <c r="S15" s="142"/>
    </row>
    <row r="17" spans="3:16" x14ac:dyDescent="0.35">
      <c r="C17" s="72" t="s">
        <v>147</v>
      </c>
    </row>
    <row r="19" spans="3:16" x14ac:dyDescent="0.35">
      <c r="C19" s="9"/>
      <c r="D19" s="9">
        <v>2005</v>
      </c>
      <c r="E19" s="9">
        <v>2010</v>
      </c>
      <c r="F19" s="9">
        <v>2015</v>
      </c>
      <c r="G19" s="9">
        <v>2020</v>
      </c>
      <c r="H19" s="9">
        <v>2025</v>
      </c>
      <c r="I19" s="9">
        <v>2030</v>
      </c>
      <c r="J19" s="9">
        <v>2035</v>
      </c>
      <c r="K19" s="9">
        <v>2040</v>
      </c>
      <c r="L19" s="9">
        <v>2045</v>
      </c>
      <c r="M19" s="9">
        <v>2050</v>
      </c>
      <c r="N19" s="9" t="s">
        <v>211</v>
      </c>
      <c r="O19" s="9" t="s">
        <v>212</v>
      </c>
      <c r="P19" s="9" t="s">
        <v>213</v>
      </c>
    </row>
    <row r="20" spans="3:16" x14ac:dyDescent="0.35">
      <c r="C20" s="68" t="s">
        <v>151</v>
      </c>
      <c r="D20" s="118">
        <v>2828.5460284377432</v>
      </c>
      <c r="E20" s="118">
        <v>2868.9992225593955</v>
      </c>
      <c r="F20" s="118">
        <v>2779.8065506562571</v>
      </c>
      <c r="G20" s="118">
        <v>2709.3751323272941</v>
      </c>
      <c r="H20" s="118">
        <v>2832.0837318185299</v>
      </c>
      <c r="I20" s="118">
        <v>2837.1995128846556</v>
      </c>
      <c r="J20" s="118">
        <v>2774.0010091522158</v>
      </c>
      <c r="K20" s="118">
        <v>2732.3496359156165</v>
      </c>
      <c r="L20" s="118">
        <v>2685.7220451393791</v>
      </c>
      <c r="M20" s="118">
        <v>2635.6571699436995</v>
      </c>
      <c r="N20" s="139">
        <f>(I20-G20)/G20</f>
        <v>4.7178546459737826E-2</v>
      </c>
      <c r="O20" s="139">
        <f>(K20-I20)/I20</f>
        <v>-3.6955412015574278E-2</v>
      </c>
      <c r="P20" s="139">
        <f>(M20-K20)/K20</f>
        <v>-3.538802820141837E-2</v>
      </c>
    </row>
    <row r="21" spans="3:16" x14ac:dyDescent="0.35">
      <c r="C21" s="106" t="s">
        <v>160</v>
      </c>
      <c r="D21" s="107">
        <v>117.46400000000001</v>
      </c>
      <c r="E21" s="107">
        <v>82.433000000000007</v>
      </c>
      <c r="F21" s="107">
        <v>32.215999999999994</v>
      </c>
      <c r="G21" s="107">
        <v>35.109467596757682</v>
      </c>
      <c r="H21" s="107">
        <v>40.341628487342192</v>
      </c>
      <c r="I21" s="107">
        <v>38.818401029170531</v>
      </c>
      <c r="J21" s="107">
        <v>30.462032832522354</v>
      </c>
      <c r="K21" s="107">
        <v>21.062587363888017</v>
      </c>
      <c r="L21" s="107">
        <v>14.989475980492116</v>
      </c>
      <c r="M21" s="107">
        <v>6.5954458122831259</v>
      </c>
      <c r="N21" s="139">
        <f t="shared" ref="N21:N29" si="0">(I21-G21)/G21</f>
        <v>0.10563912489391791</v>
      </c>
      <c r="O21" s="139">
        <f t="shared" ref="O21:O30" si="1">(K21-I21)/I21</f>
        <v>-0.45740713668086702</v>
      </c>
      <c r="P21" s="139">
        <f t="shared" ref="P21:P30" si="2">(M21-K21)/K21</f>
        <v>-0.68686440567168527</v>
      </c>
    </row>
    <row r="22" spans="3:16" x14ac:dyDescent="0.35">
      <c r="C22" s="106" t="s">
        <v>161</v>
      </c>
      <c r="D22" s="107">
        <v>933.77502844951334</v>
      </c>
      <c r="E22" s="107">
        <v>903.45660660974318</v>
      </c>
      <c r="F22" s="107">
        <v>960.01873413738724</v>
      </c>
      <c r="G22" s="107">
        <v>869.81219664627213</v>
      </c>
      <c r="H22" s="107">
        <v>889.40403388485504</v>
      </c>
      <c r="I22" s="107">
        <v>837.7563542463887</v>
      </c>
      <c r="J22" s="107">
        <v>760.7139933286403</v>
      </c>
      <c r="K22" s="107">
        <v>716.55182947772335</v>
      </c>
      <c r="L22" s="107">
        <v>668.67302151431215</v>
      </c>
      <c r="M22" s="107">
        <v>614.96060184046905</v>
      </c>
      <c r="N22" s="139">
        <f t="shared" si="0"/>
        <v>-3.6853751331012471E-2</v>
      </c>
      <c r="O22" s="139">
        <f t="shared" si="1"/>
        <v>-0.14467753560364932</v>
      </c>
      <c r="P22" s="139">
        <f t="shared" si="2"/>
        <v>-0.14177791955580044</v>
      </c>
    </row>
    <row r="23" spans="3:16" x14ac:dyDescent="0.35">
      <c r="C23" s="106" t="s">
        <v>162</v>
      </c>
      <c r="D23" s="107">
        <v>263.26299999999998</v>
      </c>
      <c r="E23" s="107">
        <v>207.02970486015221</v>
      </c>
      <c r="F23" s="107">
        <v>222.41917161635843</v>
      </c>
      <c r="G23" s="107">
        <v>226.30306027154003</v>
      </c>
      <c r="H23" s="107">
        <v>223.47222691187773</v>
      </c>
      <c r="I23" s="107">
        <v>207.97279846564425</v>
      </c>
      <c r="J23" s="107">
        <v>201.72584044380508</v>
      </c>
      <c r="K23" s="107">
        <v>207.87550282994283</v>
      </c>
      <c r="L23" s="107">
        <v>208.79388703430666</v>
      </c>
      <c r="M23" s="107">
        <v>206.39997148711575</v>
      </c>
      <c r="N23" s="139">
        <f t="shared" si="0"/>
        <v>-8.0998735871717284E-2</v>
      </c>
      <c r="O23" s="139">
        <f>(K23-I23)/I23</f>
        <v>-4.6782866037880762E-4</v>
      </c>
      <c r="P23" s="139">
        <f>(M23-K23)/K23</f>
        <v>-7.0981492419247378E-3</v>
      </c>
    </row>
    <row r="24" spans="3:16" x14ac:dyDescent="0.35">
      <c r="C24" s="106" t="s">
        <v>163</v>
      </c>
      <c r="D24" s="107">
        <v>519.34699998825499</v>
      </c>
      <c r="E24" s="107">
        <v>593.98309375878091</v>
      </c>
      <c r="F24" s="107">
        <v>589.16634431420823</v>
      </c>
      <c r="G24" s="107">
        <v>551.24587667737967</v>
      </c>
      <c r="H24" s="107">
        <v>702.68819396575429</v>
      </c>
      <c r="I24" s="107">
        <v>773.09087981282062</v>
      </c>
      <c r="J24" s="107">
        <v>825.19770335297346</v>
      </c>
      <c r="K24" s="107">
        <v>865.60140301289493</v>
      </c>
      <c r="L24" s="107">
        <v>902.38081006536163</v>
      </c>
      <c r="M24" s="107">
        <v>937.76035591682603</v>
      </c>
      <c r="N24" s="139">
        <f t="shared" si="0"/>
        <v>0.402442925238019</v>
      </c>
      <c r="O24" s="139">
        <f t="shared" si="1"/>
        <v>0.11966319305496502</v>
      </c>
      <c r="P24" s="139">
        <f t="shared" si="2"/>
        <v>8.3362795684905025E-2</v>
      </c>
    </row>
    <row r="25" spans="3:16" x14ac:dyDescent="0.35">
      <c r="C25" s="106" t="s">
        <v>164</v>
      </c>
      <c r="D25" s="107">
        <v>547.41099999997448</v>
      </c>
      <c r="E25" s="107">
        <v>531.52800000000002</v>
      </c>
      <c r="F25" s="107">
        <v>430.61499999998171</v>
      </c>
      <c r="G25" s="107">
        <v>453.63897612325707</v>
      </c>
      <c r="H25" s="107">
        <v>397.08985179158282</v>
      </c>
      <c r="I25" s="107">
        <v>373.67795111337739</v>
      </c>
      <c r="J25" s="107">
        <v>361.63416552526269</v>
      </c>
      <c r="K25" s="107">
        <v>354.89062370867475</v>
      </c>
      <c r="L25" s="107">
        <v>339.53728630378072</v>
      </c>
      <c r="M25" s="107">
        <v>337.43646915479269</v>
      </c>
      <c r="N25" s="139">
        <f t="shared" si="0"/>
        <v>-0.17626577348625722</v>
      </c>
      <c r="O25" s="139">
        <f t="shared" si="1"/>
        <v>-5.0276788739409425E-2</v>
      </c>
      <c r="P25" s="139">
        <f t="shared" si="2"/>
        <v>-4.9181785563909286E-2</v>
      </c>
    </row>
    <row r="26" spans="3:16" x14ac:dyDescent="0.35">
      <c r="C26" s="106" t="s">
        <v>165</v>
      </c>
      <c r="D26" s="107">
        <v>447.286</v>
      </c>
      <c r="E26" s="107">
        <v>550.56881733071918</v>
      </c>
      <c r="F26" s="107">
        <v>545.37130058832167</v>
      </c>
      <c r="G26" s="107">
        <v>573.2561792548795</v>
      </c>
      <c r="H26" s="107">
        <v>579.0109371971248</v>
      </c>
      <c r="I26" s="107">
        <v>605.30214575714854</v>
      </c>
      <c r="J26" s="107">
        <v>591.54663622843407</v>
      </c>
      <c r="K26" s="107">
        <v>559.48804571928542</v>
      </c>
      <c r="L26" s="107">
        <v>540.58531506818736</v>
      </c>
      <c r="M26" s="107">
        <v>517.82022329302265</v>
      </c>
      <c r="N26" s="139">
        <f t="shared" si="0"/>
        <v>5.5901650364977323E-2</v>
      </c>
      <c r="O26" s="139">
        <f t="shared" si="1"/>
        <v>-7.5687985511031133E-2</v>
      </c>
      <c r="P26" s="139">
        <f t="shared" si="2"/>
        <v>-7.4474911028159785E-2</v>
      </c>
    </row>
    <row r="27" spans="3:16" x14ac:dyDescent="0.35">
      <c r="C27" s="117" t="s">
        <v>166</v>
      </c>
      <c r="D27" s="116">
        <v>447.286</v>
      </c>
      <c r="E27" s="116">
        <v>550.56881733071918</v>
      </c>
      <c r="F27" s="116">
        <v>496.82174515975021</v>
      </c>
      <c r="G27" s="116">
        <v>516.28694215950316</v>
      </c>
      <c r="H27" s="116">
        <v>543.77009826919004</v>
      </c>
      <c r="I27" s="116">
        <v>570.87185903702152</v>
      </c>
      <c r="J27" s="116">
        <v>568.82249118362631</v>
      </c>
      <c r="K27" s="116">
        <v>535.6767372474493</v>
      </c>
      <c r="L27" s="116">
        <v>515.46630058187907</v>
      </c>
      <c r="M27" s="116">
        <v>490.96112937298687</v>
      </c>
      <c r="N27" s="139">
        <f t="shared" si="0"/>
        <v>0.10572592955615513</v>
      </c>
      <c r="O27" s="139">
        <f t="shared" si="1"/>
        <v>-6.1651526927498791E-2</v>
      </c>
      <c r="P27" s="139">
        <f t="shared" si="2"/>
        <v>-8.3474985500082657E-2</v>
      </c>
    </row>
    <row r="28" spans="3:16" x14ac:dyDescent="0.35">
      <c r="C28" s="117" t="s">
        <v>167</v>
      </c>
      <c r="D28" s="116">
        <v>0</v>
      </c>
      <c r="E28" s="116">
        <v>0</v>
      </c>
      <c r="F28" s="116">
        <v>0</v>
      </c>
      <c r="G28" s="116">
        <v>3.2450029462996868E-2</v>
      </c>
      <c r="H28" s="116">
        <v>0.57029670321436476</v>
      </c>
      <c r="I28" s="116">
        <v>1.588046384251991</v>
      </c>
      <c r="J28" s="116">
        <v>3.0481636646800556</v>
      </c>
      <c r="K28" s="116">
        <v>4.240881397910047</v>
      </c>
      <c r="L28" s="116">
        <v>5.9459157484122258</v>
      </c>
      <c r="M28" s="116">
        <v>6.4526917122198473</v>
      </c>
      <c r="N28" s="139">
        <f t="shared" si="0"/>
        <v>47.938210859341687</v>
      </c>
      <c r="O28" s="139">
        <f t="shared" si="1"/>
        <v>1.6705022220793675</v>
      </c>
      <c r="P28" s="139">
        <f t="shared" si="2"/>
        <v>0.52154495888515173</v>
      </c>
    </row>
    <row r="29" spans="3:16" x14ac:dyDescent="0.35">
      <c r="C29" s="117" t="s">
        <v>169</v>
      </c>
      <c r="D29" s="116">
        <v>0</v>
      </c>
      <c r="E29" s="116">
        <v>0</v>
      </c>
      <c r="F29" s="116">
        <v>48.549555428571438</v>
      </c>
      <c r="G29" s="116">
        <v>56.936787065913308</v>
      </c>
      <c r="H29" s="116">
        <v>34.670542224720407</v>
      </c>
      <c r="I29" s="116">
        <v>32.842240335875012</v>
      </c>
      <c r="J29" s="116">
        <v>19.675981380127674</v>
      </c>
      <c r="K29" s="116">
        <v>19.570427073926158</v>
      </c>
      <c r="L29" s="116">
        <v>19.17309873789614</v>
      </c>
      <c r="M29" s="116">
        <v>20.406402207815866</v>
      </c>
      <c r="N29" s="139">
        <f t="shared" si="0"/>
        <v>-0.42318065299584007</v>
      </c>
      <c r="O29" s="139">
        <f t="shared" si="1"/>
        <v>-0.40410803666921202</v>
      </c>
      <c r="P29" s="139">
        <f t="shared" si="2"/>
        <v>4.2716243786191273E-2</v>
      </c>
    </row>
    <row r="30" spans="3:16" x14ac:dyDescent="0.35">
      <c r="C30" s="106" t="s">
        <v>170</v>
      </c>
      <c r="D30" s="107">
        <v>0</v>
      </c>
      <c r="E30" s="107">
        <v>0</v>
      </c>
      <c r="F30" s="107">
        <v>0</v>
      </c>
      <c r="G30" s="107">
        <v>9.3757572078861894E-3</v>
      </c>
      <c r="H30" s="107">
        <v>7.6859579993737159E-2</v>
      </c>
      <c r="I30" s="107">
        <v>0.58098246010531684</v>
      </c>
      <c r="J30" s="107">
        <v>2.7206374405778493</v>
      </c>
      <c r="K30" s="107">
        <v>6.8796438032073217</v>
      </c>
      <c r="L30" s="107">
        <v>10.762249172937528</v>
      </c>
      <c r="M30" s="107">
        <v>14.684102439190442</v>
      </c>
      <c r="N30" s="139">
        <f>(I30-G30)/G30</f>
        <v>60.966457452272508</v>
      </c>
      <c r="O30" s="139">
        <f t="shared" si="1"/>
        <v>10.841396729877564</v>
      </c>
      <c r="P30" s="139">
        <f t="shared" si="2"/>
        <v>1.1344277202759603</v>
      </c>
    </row>
    <row r="31" spans="3:16" x14ac:dyDescent="0.35">
      <c r="C31" s="106" t="s">
        <v>171</v>
      </c>
      <c r="D31" s="107">
        <v>0</v>
      </c>
      <c r="E31" s="107">
        <v>0</v>
      </c>
      <c r="F31" s="107">
        <v>0</v>
      </c>
      <c r="G31" s="107">
        <v>0</v>
      </c>
      <c r="H31" s="107">
        <v>0</v>
      </c>
      <c r="I31" s="107">
        <v>0</v>
      </c>
      <c r="J31" s="107">
        <v>0</v>
      </c>
      <c r="K31" s="107">
        <v>0</v>
      </c>
      <c r="L31" s="107">
        <v>0</v>
      </c>
      <c r="M31" s="107">
        <v>0</v>
      </c>
      <c r="N31" s="139">
        <v>0</v>
      </c>
      <c r="O31" s="139">
        <v>0</v>
      </c>
      <c r="P31" s="139">
        <v>0</v>
      </c>
    </row>
    <row r="33" spans="3:19" x14ac:dyDescent="0.35">
      <c r="C33" s="72" t="s">
        <v>222</v>
      </c>
    </row>
    <row r="35" spans="3:19" x14ac:dyDescent="0.35">
      <c r="C35" s="9"/>
      <c r="D35" s="9">
        <v>2010</v>
      </c>
      <c r="E35" s="9">
        <v>2011</v>
      </c>
      <c r="F35" s="9">
        <v>2012</v>
      </c>
      <c r="G35" s="9">
        <v>2013</v>
      </c>
      <c r="H35" s="9">
        <v>2014</v>
      </c>
      <c r="I35" s="9">
        <v>2015</v>
      </c>
      <c r="J35" s="9">
        <v>2016</v>
      </c>
      <c r="K35" s="9">
        <v>2017</v>
      </c>
      <c r="L35" s="9">
        <v>2018</v>
      </c>
      <c r="M35" s="9">
        <v>2019</v>
      </c>
      <c r="N35" s="9">
        <v>2020</v>
      </c>
      <c r="O35" s="9">
        <v>2021</v>
      </c>
      <c r="P35" s="9">
        <v>2030</v>
      </c>
      <c r="Q35" s="9">
        <v>2040</v>
      </c>
      <c r="R35" s="9">
        <v>2050</v>
      </c>
    </row>
    <row r="36" spans="3:19" x14ac:dyDescent="0.35">
      <c r="C36" s="68" t="s">
        <v>151</v>
      </c>
      <c r="D36" s="118">
        <v>424.23899999999998</v>
      </c>
      <c r="E36" s="118">
        <v>402.178</v>
      </c>
      <c r="F36" s="118">
        <v>423.52</v>
      </c>
      <c r="G36" s="118">
        <v>417.892</v>
      </c>
      <c r="H36" s="118">
        <v>457.642</v>
      </c>
      <c r="I36" s="118">
        <v>465.39499999999998</v>
      </c>
      <c r="J36" s="118">
        <v>498.23599999999999</v>
      </c>
      <c r="K36" s="118">
        <v>466.59100000000001</v>
      </c>
      <c r="L36" s="118">
        <v>490.26900000000001</v>
      </c>
      <c r="M36" s="118">
        <v>461.84800000000001</v>
      </c>
      <c r="N36" s="118">
        <v>467.1</v>
      </c>
      <c r="O36" s="118">
        <v>511.86099999999999</v>
      </c>
      <c r="P36" s="161"/>
      <c r="Q36" s="161"/>
      <c r="R36" s="161"/>
    </row>
    <row r="37" spans="3:19" x14ac:dyDescent="0.35">
      <c r="C37" s="68" t="s">
        <v>151</v>
      </c>
      <c r="D37" s="110">
        <f t="shared" ref="D37:O37" si="3">SUM(D38:D44)</f>
        <v>424.238</v>
      </c>
      <c r="E37" s="110">
        <f t="shared" si="3"/>
        <v>402.17799999999994</v>
      </c>
      <c r="F37" s="110">
        <f t="shared" si="3"/>
        <v>423.52099999999996</v>
      </c>
      <c r="G37" s="110">
        <f t="shared" si="3"/>
        <v>417.892</v>
      </c>
      <c r="H37" s="110">
        <f t="shared" si="3"/>
        <v>457.64099999999996</v>
      </c>
      <c r="I37" s="110">
        <f t="shared" si="3"/>
        <v>465.39400000000001</v>
      </c>
      <c r="J37" s="110">
        <f t="shared" si="3"/>
        <v>498.23600000000005</v>
      </c>
      <c r="K37" s="110">
        <f t="shared" si="3"/>
        <v>466.59000000000003</v>
      </c>
      <c r="L37" s="110">
        <f t="shared" si="3"/>
        <v>490.27000000000004</v>
      </c>
      <c r="M37" s="110">
        <f t="shared" si="3"/>
        <v>461.84900000000005</v>
      </c>
      <c r="N37" s="110">
        <f t="shared" si="3"/>
        <v>467.101</v>
      </c>
      <c r="O37" s="110">
        <f t="shared" si="3"/>
        <v>511.86200000000002</v>
      </c>
      <c r="P37" s="161"/>
      <c r="Q37" s="161"/>
      <c r="R37" s="161"/>
    </row>
    <row r="38" spans="3:19" x14ac:dyDescent="0.35">
      <c r="C38" s="105" t="s">
        <v>160</v>
      </c>
      <c r="D38" s="118">
        <v>1.946</v>
      </c>
      <c r="E38" s="118">
        <v>1.302</v>
      </c>
      <c r="F38" s="118">
        <v>1.302</v>
      </c>
      <c r="G38" s="118">
        <v>2.5939999999999999</v>
      </c>
      <c r="H38" s="118">
        <v>1.2969999999999999</v>
      </c>
      <c r="I38" s="118">
        <v>0</v>
      </c>
      <c r="J38" s="118">
        <v>0</v>
      </c>
      <c r="K38" s="118">
        <v>0</v>
      </c>
      <c r="L38" s="118">
        <v>1.0509999999999999</v>
      </c>
      <c r="M38" s="118">
        <v>0.95899999999999996</v>
      </c>
      <c r="N38" s="118">
        <v>1.0309999999999999</v>
      </c>
      <c r="O38" s="118">
        <v>1.0129999999999999</v>
      </c>
      <c r="P38" s="161"/>
      <c r="Q38" s="161"/>
      <c r="R38" s="161"/>
    </row>
    <row r="39" spans="3:19" x14ac:dyDescent="0.35">
      <c r="C39" s="105" t="s">
        <v>163</v>
      </c>
      <c r="D39" s="118">
        <v>215.90700000000001</v>
      </c>
      <c r="E39" s="118">
        <v>204.471</v>
      </c>
      <c r="F39" s="118">
        <v>218.05699999999999</v>
      </c>
      <c r="G39" s="118">
        <v>217.541</v>
      </c>
      <c r="H39" s="118">
        <v>240.327</v>
      </c>
      <c r="I39" s="118">
        <v>241.874</v>
      </c>
      <c r="J39" s="118">
        <v>255.46</v>
      </c>
      <c r="K39" s="118">
        <v>233.49</v>
      </c>
      <c r="L39" s="118">
        <v>252.19300000000001</v>
      </c>
      <c r="M39" s="118">
        <v>251.161</v>
      </c>
      <c r="N39" s="118">
        <v>244.71199999999999</v>
      </c>
      <c r="O39" s="118">
        <v>279.96600000000001</v>
      </c>
      <c r="P39" s="161"/>
      <c r="Q39" s="161"/>
      <c r="R39" s="161"/>
    </row>
    <row r="40" spans="3:19" x14ac:dyDescent="0.35">
      <c r="C40" s="105" t="s">
        <v>140</v>
      </c>
      <c r="D40" s="118">
        <v>29.728999999999999</v>
      </c>
      <c r="E40" s="118">
        <v>30.997</v>
      </c>
      <c r="F40" s="118">
        <v>34.866999999999997</v>
      </c>
      <c r="G40" s="118">
        <v>43.314999999999998</v>
      </c>
      <c r="H40" s="118">
        <v>66.831000000000003</v>
      </c>
      <c r="I40" s="118">
        <v>69.991</v>
      </c>
      <c r="J40" s="118">
        <v>79.320999999999998</v>
      </c>
      <c r="K40" s="118">
        <v>70.894999999999996</v>
      </c>
      <c r="L40" s="118">
        <v>76.19</v>
      </c>
      <c r="M40" s="118">
        <v>73.393000000000001</v>
      </c>
      <c r="N40" s="118">
        <v>75.176000000000002</v>
      </c>
      <c r="O40" s="118">
        <v>79.576999999999998</v>
      </c>
      <c r="P40" s="110">
        <f>O40*(1+N23)</f>
        <v>73.131363595536357</v>
      </c>
      <c r="Q40" s="110">
        <f>P40*(1+O23)</f>
        <v>73.097150647673786</v>
      </c>
      <c r="R40" s="110">
        <f>Q40*(1+P23)</f>
        <v>72.578296163217146</v>
      </c>
    </row>
    <row r="41" spans="3:19" x14ac:dyDescent="0.35">
      <c r="C41" s="105" t="s">
        <v>206</v>
      </c>
      <c r="D41" s="118">
        <v>128.714</v>
      </c>
      <c r="E41" s="118">
        <v>102.919</v>
      </c>
      <c r="F41" s="118">
        <v>113.23699999999999</v>
      </c>
      <c r="G41" s="118">
        <v>101.98699999999999</v>
      </c>
      <c r="H41" s="118">
        <v>107.57599999999999</v>
      </c>
      <c r="I41" s="118">
        <v>108.006</v>
      </c>
      <c r="J41" s="118">
        <v>120.85599999999999</v>
      </c>
      <c r="K41" s="118">
        <v>118.94499999999999</v>
      </c>
      <c r="L41" s="118">
        <v>121.81100000000001</v>
      </c>
      <c r="M41" s="118">
        <v>102.70399999999999</v>
      </c>
      <c r="N41" s="118">
        <v>109.869</v>
      </c>
      <c r="O41" s="118">
        <v>116.461</v>
      </c>
      <c r="P41" s="161"/>
      <c r="Q41" s="161"/>
      <c r="R41" s="161"/>
    </row>
    <row r="42" spans="3:19" x14ac:dyDescent="0.35">
      <c r="C42" s="105" t="s">
        <v>216</v>
      </c>
      <c r="D42" s="118">
        <v>29.241</v>
      </c>
      <c r="E42" s="118">
        <v>42.426000000000002</v>
      </c>
      <c r="F42" s="118">
        <v>43.414000000000001</v>
      </c>
      <c r="G42" s="118">
        <v>39.405000000000001</v>
      </c>
      <c r="H42" s="118">
        <v>30.279</v>
      </c>
      <c r="I42" s="118">
        <v>33.237000000000002</v>
      </c>
      <c r="J42" s="118">
        <v>26.315000000000001</v>
      </c>
      <c r="K42" s="118">
        <v>30.027999999999999</v>
      </c>
      <c r="L42" s="118">
        <v>27.344999999999999</v>
      </c>
      <c r="M42" s="118">
        <v>20.405000000000001</v>
      </c>
      <c r="N42" s="118">
        <v>20.954000000000001</v>
      </c>
      <c r="O42" s="118">
        <v>20.925000000000001</v>
      </c>
      <c r="P42" s="161"/>
      <c r="Q42" s="161"/>
      <c r="R42" s="161"/>
    </row>
    <row r="43" spans="3:19" x14ac:dyDescent="0.35">
      <c r="C43" s="105" t="s">
        <v>217</v>
      </c>
      <c r="D43" s="118">
        <v>0.38200000000000001</v>
      </c>
      <c r="E43" s="118">
        <v>0.38200000000000001</v>
      </c>
      <c r="F43" s="118">
        <v>0.72599999999999998</v>
      </c>
      <c r="G43" s="118">
        <v>0.72599999999999998</v>
      </c>
      <c r="H43" s="118">
        <v>0.72599999999999998</v>
      </c>
      <c r="I43" s="118">
        <v>0.72599999999999998</v>
      </c>
      <c r="J43" s="118">
        <v>1.2130000000000001</v>
      </c>
      <c r="K43" s="118">
        <v>0</v>
      </c>
      <c r="L43" s="118">
        <v>0</v>
      </c>
      <c r="M43" s="118">
        <v>0</v>
      </c>
      <c r="N43" s="118">
        <v>0</v>
      </c>
      <c r="O43" s="118">
        <v>0</v>
      </c>
      <c r="P43" s="161"/>
      <c r="Q43" s="161"/>
      <c r="R43" s="161"/>
    </row>
    <row r="44" spans="3:19" x14ac:dyDescent="0.35">
      <c r="C44" s="105" t="s">
        <v>218</v>
      </c>
      <c r="D44" s="118">
        <v>18.318999999999999</v>
      </c>
      <c r="E44" s="118">
        <v>19.681000000000001</v>
      </c>
      <c r="F44" s="118">
        <v>11.917999999999999</v>
      </c>
      <c r="G44" s="118">
        <v>12.324</v>
      </c>
      <c r="H44" s="118">
        <v>10.605</v>
      </c>
      <c r="I44" s="118">
        <v>11.56</v>
      </c>
      <c r="J44" s="118">
        <v>15.071</v>
      </c>
      <c r="K44" s="118">
        <v>13.231999999999999</v>
      </c>
      <c r="L44" s="118">
        <v>11.68</v>
      </c>
      <c r="M44" s="118">
        <v>13.227</v>
      </c>
      <c r="N44" s="118">
        <v>15.359</v>
      </c>
      <c r="O44" s="118">
        <v>13.92</v>
      </c>
      <c r="P44" s="161"/>
      <c r="Q44" s="161"/>
      <c r="R44" s="161"/>
    </row>
    <row r="45" spans="3:19" x14ac:dyDescent="0.35">
      <c r="C45" s="105" t="s">
        <v>219</v>
      </c>
      <c r="D45" s="118">
        <v>0</v>
      </c>
      <c r="E45" s="118">
        <v>0</v>
      </c>
      <c r="F45" s="118">
        <v>0</v>
      </c>
      <c r="G45" s="118">
        <v>0</v>
      </c>
      <c r="H45" s="118">
        <v>0</v>
      </c>
      <c r="I45" s="118">
        <v>0</v>
      </c>
      <c r="J45" s="118">
        <v>0</v>
      </c>
      <c r="K45" s="118">
        <v>0</v>
      </c>
      <c r="L45" s="118">
        <v>0</v>
      </c>
      <c r="M45" s="118">
        <v>0</v>
      </c>
      <c r="N45" s="118">
        <v>0</v>
      </c>
      <c r="O45" s="118">
        <v>0</v>
      </c>
      <c r="P45" s="161"/>
      <c r="Q45" s="161"/>
      <c r="R45" s="161"/>
    </row>
    <row r="47" spans="3:19" s="99" customFormat="1" ht="13.5" x14ac:dyDescent="0.35">
      <c r="D47" s="142" t="s">
        <v>69</v>
      </c>
      <c r="E47" s="142"/>
      <c r="F47" s="142"/>
      <c r="G47" s="142"/>
      <c r="H47" s="142"/>
      <c r="I47" s="142"/>
      <c r="J47" s="142"/>
      <c r="K47" s="142"/>
      <c r="L47" s="142"/>
      <c r="M47" s="142"/>
      <c r="N47" s="142"/>
      <c r="O47" s="142"/>
      <c r="P47" s="142"/>
      <c r="Q47" s="142"/>
      <c r="R47" s="142"/>
      <c r="S47" s="142"/>
    </row>
    <row r="49" spans="3:16" x14ac:dyDescent="0.35">
      <c r="C49" s="72" t="s">
        <v>147</v>
      </c>
    </row>
    <row r="51" spans="3:16" x14ac:dyDescent="0.35">
      <c r="C51" s="9"/>
      <c r="D51" s="9">
        <v>2005</v>
      </c>
      <c r="E51" s="9">
        <v>2010</v>
      </c>
      <c r="F51" s="9">
        <v>2015</v>
      </c>
      <c r="G51" s="9">
        <v>2020</v>
      </c>
      <c r="H51" s="9">
        <v>2025</v>
      </c>
      <c r="I51" s="9">
        <v>2030</v>
      </c>
      <c r="J51" s="9">
        <v>2035</v>
      </c>
      <c r="K51" s="9">
        <v>2040</v>
      </c>
      <c r="L51" s="9">
        <v>2045</v>
      </c>
      <c r="M51" s="9">
        <v>2050</v>
      </c>
      <c r="N51" s="9" t="s">
        <v>211</v>
      </c>
      <c r="O51" s="9" t="s">
        <v>212</v>
      </c>
      <c r="P51" s="9" t="s">
        <v>213</v>
      </c>
    </row>
    <row r="52" spans="3:16" x14ac:dyDescent="0.35">
      <c r="C52" s="68" t="s">
        <v>151</v>
      </c>
      <c r="D52" s="118">
        <v>4622.4078564164502</v>
      </c>
      <c r="E52" s="118">
        <v>4757.2576611428203</v>
      </c>
      <c r="F52" s="118">
        <v>4776.5059304845699</v>
      </c>
      <c r="G52" s="118">
        <v>4827.6838863962421</v>
      </c>
      <c r="H52" s="118">
        <v>4993.4561024037084</v>
      </c>
      <c r="I52" s="118">
        <v>4714.9920768672173</v>
      </c>
      <c r="J52" s="118">
        <v>4464.3035683809085</v>
      </c>
      <c r="K52" s="118">
        <v>4346.7890351419028</v>
      </c>
      <c r="L52" s="118">
        <v>4258.7203180297156</v>
      </c>
      <c r="M52" s="118">
        <v>4220.6082834167009</v>
      </c>
      <c r="N52" s="139">
        <f>(I52-G52)/G52</f>
        <v>-2.3342831092685049E-2</v>
      </c>
      <c r="O52" s="139">
        <f>(K52-I52)/I52</f>
        <v>-7.8091974646532114E-2</v>
      </c>
      <c r="P52" s="139">
        <f>(M52-K52)/K52</f>
        <v>-2.9028496829518347E-2</v>
      </c>
    </row>
    <row r="53" spans="3:16" x14ac:dyDescent="0.35">
      <c r="C53" s="106" t="s">
        <v>160</v>
      </c>
      <c r="D53" s="107">
        <v>173.85199999999998</v>
      </c>
      <c r="E53" s="107">
        <v>199.20199999999997</v>
      </c>
      <c r="F53" s="107">
        <v>171.00899999999996</v>
      </c>
      <c r="G53" s="107">
        <v>177.31249568428461</v>
      </c>
      <c r="H53" s="107">
        <v>154.22103187628608</v>
      </c>
      <c r="I53" s="107">
        <v>108.05724280840788</v>
      </c>
      <c r="J53" s="107">
        <v>57.808777420109998</v>
      </c>
      <c r="K53" s="107">
        <v>26.857950604749991</v>
      </c>
      <c r="L53" s="107">
        <v>10.752275322369549</v>
      </c>
      <c r="M53" s="107">
        <v>7.4570043096667575</v>
      </c>
      <c r="N53" s="139">
        <f t="shared" ref="N53:N61" si="4">(I53-G53)/G53</f>
        <v>-0.39058303594795601</v>
      </c>
      <c r="O53" s="139">
        <f t="shared" ref="O53:O54" si="5">(K53-I53)/I53</f>
        <v>-0.75144701172534278</v>
      </c>
      <c r="P53" s="139">
        <f t="shared" ref="P53:P54" si="6">(M53-K53)/K53</f>
        <v>-0.72235393461674102</v>
      </c>
    </row>
    <row r="54" spans="3:16" x14ac:dyDescent="0.35">
      <c r="C54" s="106" t="s">
        <v>161</v>
      </c>
      <c r="D54" s="107">
        <v>1570.2498564233013</v>
      </c>
      <c r="E54" s="107">
        <v>1563.8263788118968</v>
      </c>
      <c r="F54" s="107">
        <v>1787.9145369327466</v>
      </c>
      <c r="G54" s="107">
        <v>1740.100039633923</v>
      </c>
      <c r="H54" s="107">
        <v>1832.6334366611582</v>
      </c>
      <c r="I54" s="107">
        <v>1627.4046978964539</v>
      </c>
      <c r="J54" s="107">
        <v>1503.8368625599019</v>
      </c>
      <c r="K54" s="107">
        <v>1445.7837577125299</v>
      </c>
      <c r="L54" s="107">
        <v>1351.0342282848251</v>
      </c>
      <c r="M54" s="107">
        <v>1288.1469614046148</v>
      </c>
      <c r="N54" s="139">
        <f t="shared" si="4"/>
        <v>-6.4763714252415977E-2</v>
      </c>
      <c r="O54" s="139">
        <f t="shared" si="5"/>
        <v>-0.11160158282612986</v>
      </c>
      <c r="P54" s="139">
        <f t="shared" si="6"/>
        <v>-0.10903207029889637</v>
      </c>
    </row>
    <row r="55" spans="3:16" x14ac:dyDescent="0.35">
      <c r="C55" s="106" t="s">
        <v>162</v>
      </c>
      <c r="D55" s="107">
        <v>589.12099999999987</v>
      </c>
      <c r="E55" s="107">
        <v>618.83098901114852</v>
      </c>
      <c r="F55" s="107">
        <v>519.01138789982349</v>
      </c>
      <c r="G55" s="107">
        <v>566.30394120618985</v>
      </c>
      <c r="H55" s="107">
        <v>539.28423180848222</v>
      </c>
      <c r="I55" s="107">
        <v>411.59532992576021</v>
      </c>
      <c r="J55" s="107">
        <v>369.19619060591862</v>
      </c>
      <c r="K55" s="107">
        <v>343.02388985596764</v>
      </c>
      <c r="L55" s="107">
        <v>331.68174453296058</v>
      </c>
      <c r="M55" s="107">
        <v>341.27536649618577</v>
      </c>
      <c r="N55" s="139">
        <f>(I55-G55)/G55</f>
        <v>-0.27319006636420462</v>
      </c>
      <c r="O55" s="139">
        <f>(K55-I55)/I55</f>
        <v>-0.16659916933984859</v>
      </c>
      <c r="P55" s="139">
        <f>(M55-K55)/K55</f>
        <v>-5.097380711635153E-3</v>
      </c>
    </row>
    <row r="56" spans="3:16" x14ac:dyDescent="0.35">
      <c r="C56" s="106" t="s">
        <v>163</v>
      </c>
      <c r="D56" s="107">
        <v>685.8979999997739</v>
      </c>
      <c r="E56" s="107">
        <v>716.42304412395094</v>
      </c>
      <c r="F56" s="107">
        <v>803.26899841892089</v>
      </c>
      <c r="G56" s="107">
        <v>834.92823322904371</v>
      </c>
      <c r="H56" s="107">
        <v>874.42396810517334</v>
      </c>
      <c r="I56" s="107">
        <v>879.7999490785669</v>
      </c>
      <c r="J56" s="107">
        <v>918.6191172861204</v>
      </c>
      <c r="K56" s="107">
        <v>948.49788872283318</v>
      </c>
      <c r="L56" s="107">
        <v>1015.773287517057</v>
      </c>
      <c r="M56" s="107">
        <v>1046.1343915859084</v>
      </c>
      <c r="N56" s="139">
        <f t="shared" si="4"/>
        <v>5.3743200988645504E-2</v>
      </c>
      <c r="O56" s="139">
        <f t="shared" ref="O56:O62" si="7">(K56-I56)/I56</f>
        <v>7.8083591293924365E-2</v>
      </c>
      <c r="P56" s="139">
        <f t="shared" ref="P56:P62" si="8">(M56-K56)/K56</f>
        <v>0.10293802867030544</v>
      </c>
    </row>
    <row r="57" spans="3:16" x14ac:dyDescent="0.35">
      <c r="C57" s="106" t="s">
        <v>164</v>
      </c>
      <c r="D57" s="107">
        <v>905.22900000000004</v>
      </c>
      <c r="E57" s="107">
        <v>921.51699999999994</v>
      </c>
      <c r="F57" s="107">
        <v>798.39000000000055</v>
      </c>
      <c r="G57" s="107">
        <v>793.85001331328624</v>
      </c>
      <c r="H57" s="107">
        <v>804.66946625505182</v>
      </c>
      <c r="I57" s="107">
        <v>864.53748021179945</v>
      </c>
      <c r="J57" s="107">
        <v>832.09753948465197</v>
      </c>
      <c r="K57" s="107">
        <v>798.72287092254089</v>
      </c>
      <c r="L57" s="107">
        <v>768.78046656788138</v>
      </c>
      <c r="M57" s="107">
        <v>752.58356955533282</v>
      </c>
      <c r="N57" s="139">
        <f t="shared" si="4"/>
        <v>8.9043856790384651E-2</v>
      </c>
      <c r="O57" s="139">
        <f t="shared" si="7"/>
        <v>-7.6126958975954298E-2</v>
      </c>
      <c r="P57" s="139">
        <f t="shared" si="8"/>
        <v>-5.7766345558524272E-2</v>
      </c>
    </row>
    <row r="58" spans="3:16" x14ac:dyDescent="0.35">
      <c r="C58" s="106" t="s">
        <v>165</v>
      </c>
      <c r="D58" s="107">
        <v>698.05799999337478</v>
      </c>
      <c r="E58" s="107">
        <v>737.45824919582321</v>
      </c>
      <c r="F58" s="107">
        <v>696.91200723307804</v>
      </c>
      <c r="G58" s="107">
        <v>715.18767374060724</v>
      </c>
      <c r="H58" s="107">
        <v>788.20937617698166</v>
      </c>
      <c r="I58" s="107">
        <v>823.50999487916431</v>
      </c>
      <c r="J58" s="107">
        <v>780.74696870589264</v>
      </c>
      <c r="K58" s="107">
        <v>776.14894326204251</v>
      </c>
      <c r="L58" s="107">
        <v>767.88164619692031</v>
      </c>
      <c r="M58" s="107">
        <v>768.22532109187989</v>
      </c>
      <c r="N58" s="139">
        <f t="shared" si="4"/>
        <v>0.15145999451025871</v>
      </c>
      <c r="O58" s="139">
        <f t="shared" si="7"/>
        <v>-5.7511204371078956E-2</v>
      </c>
      <c r="P58" s="139">
        <f t="shared" si="8"/>
        <v>-1.0208893845633249E-2</v>
      </c>
    </row>
    <row r="59" spans="3:16" x14ac:dyDescent="0.35">
      <c r="C59" s="117" t="s">
        <v>166</v>
      </c>
      <c r="D59" s="116">
        <v>698.05799999337478</v>
      </c>
      <c r="E59" s="116">
        <v>737.45824919582321</v>
      </c>
      <c r="F59" s="116">
        <v>696.91200723307804</v>
      </c>
      <c r="G59" s="116">
        <v>695.73171736433653</v>
      </c>
      <c r="H59" s="116">
        <v>771.28363682817371</v>
      </c>
      <c r="I59" s="116">
        <v>805.59226359562717</v>
      </c>
      <c r="J59" s="116">
        <v>768.29415886558934</v>
      </c>
      <c r="K59" s="116">
        <v>762.27373073935928</v>
      </c>
      <c r="L59" s="116">
        <v>753.42160964213372</v>
      </c>
      <c r="M59" s="116">
        <v>753.14136622553679</v>
      </c>
      <c r="N59" s="139">
        <f t="shared" si="4"/>
        <v>0.1579064795945756</v>
      </c>
      <c r="O59" s="139">
        <f t="shared" si="7"/>
        <v>-5.3772280114661009E-2</v>
      </c>
      <c r="P59" s="139">
        <f t="shared" si="8"/>
        <v>-1.198042664406742E-2</v>
      </c>
    </row>
    <row r="60" spans="3:16" x14ac:dyDescent="0.35">
      <c r="C60" s="117" t="s">
        <v>167</v>
      </c>
      <c r="D60" s="116">
        <v>0</v>
      </c>
      <c r="E60" s="116">
        <v>0</v>
      </c>
      <c r="F60" s="116">
        <v>0</v>
      </c>
      <c r="G60" s="116">
        <v>4.9999848987309234E-2</v>
      </c>
      <c r="H60" s="116">
        <v>0.79196105299525388</v>
      </c>
      <c r="I60" s="116">
        <v>1.4600547638998365</v>
      </c>
      <c r="J60" s="116">
        <v>2.3524467133532845</v>
      </c>
      <c r="K60" s="116">
        <v>3.9653597424416187</v>
      </c>
      <c r="L60" s="116">
        <v>5.3841157935354964</v>
      </c>
      <c r="M60" s="116">
        <v>6.2097280031634767</v>
      </c>
      <c r="N60" s="139">
        <f t="shared" si="4"/>
        <v>28.201183472982525</v>
      </c>
      <c r="O60" s="139">
        <f t="shared" si="7"/>
        <v>1.715897951560434</v>
      </c>
      <c r="P60" s="139">
        <f t="shared" si="8"/>
        <v>0.56599360625472972</v>
      </c>
    </row>
    <row r="61" spans="3:16" x14ac:dyDescent="0.35">
      <c r="C61" s="117" t="s">
        <v>169</v>
      </c>
      <c r="D61" s="116">
        <v>0</v>
      </c>
      <c r="E61" s="116">
        <v>0</v>
      </c>
      <c r="F61" s="116">
        <v>0</v>
      </c>
      <c r="G61" s="116">
        <v>19.405956527283358</v>
      </c>
      <c r="H61" s="116">
        <v>16.133778295812736</v>
      </c>
      <c r="I61" s="116">
        <v>16.4576765196373</v>
      </c>
      <c r="J61" s="116">
        <v>10.10036312695005</v>
      </c>
      <c r="K61" s="116">
        <v>9.9098527802416072</v>
      </c>
      <c r="L61" s="116">
        <v>9.0759207612511545</v>
      </c>
      <c r="M61" s="116">
        <v>8.8742268631796293</v>
      </c>
      <c r="N61" s="139">
        <f t="shared" si="4"/>
        <v>-0.15192654912428522</v>
      </c>
      <c r="O61" s="139">
        <f t="shared" si="7"/>
        <v>-0.39785833264998427</v>
      </c>
      <c r="P61" s="139">
        <f t="shared" si="8"/>
        <v>-0.10450467227190521</v>
      </c>
    </row>
    <row r="62" spans="3:16" x14ac:dyDescent="0.35">
      <c r="C62" s="106" t="s">
        <v>170</v>
      </c>
      <c r="D62" s="107">
        <v>0</v>
      </c>
      <c r="E62" s="107">
        <v>0</v>
      </c>
      <c r="F62" s="107">
        <v>0</v>
      </c>
      <c r="G62" s="107">
        <v>1.4895889060488599E-3</v>
      </c>
      <c r="H62" s="107">
        <v>1.4591520574031361E-2</v>
      </c>
      <c r="I62" s="107">
        <v>8.7382067064824862E-2</v>
      </c>
      <c r="J62" s="107">
        <v>1.9981123183120124</v>
      </c>
      <c r="K62" s="107">
        <v>7.7537340612380952</v>
      </c>
      <c r="L62" s="107">
        <v>12.816669607702122</v>
      </c>
      <c r="M62" s="107">
        <v>16.785668973112383</v>
      </c>
      <c r="N62" s="139">
        <f>(I62-G62)/G62</f>
        <v>57.661867519278267</v>
      </c>
      <c r="O62" s="139">
        <f t="shared" si="7"/>
        <v>87.733699278204824</v>
      </c>
      <c r="P62" s="139">
        <f t="shared" si="8"/>
        <v>1.16484971505872</v>
      </c>
    </row>
    <row r="63" spans="3:16" x14ac:dyDescent="0.35">
      <c r="C63" s="106" t="s">
        <v>171</v>
      </c>
      <c r="D63" s="107">
        <v>0</v>
      </c>
      <c r="E63" s="107">
        <v>0</v>
      </c>
      <c r="F63" s="107">
        <v>0</v>
      </c>
      <c r="G63" s="107">
        <v>0</v>
      </c>
      <c r="H63" s="107">
        <v>0</v>
      </c>
      <c r="I63" s="107">
        <v>0</v>
      </c>
      <c r="J63" s="107">
        <v>0</v>
      </c>
      <c r="K63" s="107">
        <v>0</v>
      </c>
      <c r="L63" s="107">
        <v>0</v>
      </c>
      <c r="M63" s="107">
        <v>0</v>
      </c>
      <c r="N63" s="139">
        <v>0</v>
      </c>
      <c r="O63" s="139">
        <v>0</v>
      </c>
      <c r="P63" s="139">
        <v>0</v>
      </c>
    </row>
    <row r="65" spans="3:19" x14ac:dyDescent="0.35">
      <c r="C65" s="72" t="s">
        <v>222</v>
      </c>
    </row>
    <row r="67" spans="3:19" x14ac:dyDescent="0.35">
      <c r="C67" s="9"/>
      <c r="D67" s="9">
        <v>2010</v>
      </c>
      <c r="E67" s="9">
        <v>2011</v>
      </c>
      <c r="F67" s="9">
        <v>2012</v>
      </c>
      <c r="G67" s="9">
        <v>2013</v>
      </c>
      <c r="H67" s="9">
        <v>2014</v>
      </c>
      <c r="I67" s="9">
        <v>2015</v>
      </c>
      <c r="J67" s="9">
        <v>2016</v>
      </c>
      <c r="K67" s="9">
        <v>2017</v>
      </c>
      <c r="L67" s="9">
        <v>2018</v>
      </c>
      <c r="M67" s="9">
        <v>2019</v>
      </c>
      <c r="N67" s="9">
        <v>2020</v>
      </c>
      <c r="O67" s="9">
        <v>2021</v>
      </c>
      <c r="P67" s="9">
        <v>2030</v>
      </c>
      <c r="Q67" s="9">
        <v>2040</v>
      </c>
      <c r="R67" s="9">
        <v>2050</v>
      </c>
    </row>
    <row r="68" spans="3:19" x14ac:dyDescent="0.35">
      <c r="C68" s="68" t="s">
        <v>151</v>
      </c>
      <c r="D68" s="118">
        <v>600.70000000000005</v>
      </c>
      <c r="E68" s="118">
        <v>583.96100000000001</v>
      </c>
      <c r="F68" s="118">
        <v>610.06399999999996</v>
      </c>
      <c r="G68" s="118">
        <v>593.02300000000002</v>
      </c>
      <c r="H68" s="118">
        <v>585.66800000000001</v>
      </c>
      <c r="I68" s="118">
        <v>574.923</v>
      </c>
      <c r="J68" s="118">
        <v>602.55200000000002</v>
      </c>
      <c r="K68" s="118">
        <v>633.86699999999996</v>
      </c>
      <c r="L68" s="118">
        <v>651.17700000000002</v>
      </c>
      <c r="M68" s="118">
        <v>626.70699999999999</v>
      </c>
      <c r="N68" s="118">
        <v>576.20500000000004</v>
      </c>
      <c r="O68" s="118">
        <v>646.66800000000001</v>
      </c>
      <c r="P68" s="161"/>
      <c r="Q68" s="161"/>
      <c r="R68" s="161"/>
    </row>
    <row r="69" spans="3:19" x14ac:dyDescent="0.35">
      <c r="C69" s="68" t="s">
        <v>151</v>
      </c>
      <c r="D69" s="110">
        <f t="shared" ref="D69:O69" si="9">SUM(D70:D76)</f>
        <v>600.69999999999982</v>
      </c>
      <c r="E69" s="110">
        <f t="shared" si="9"/>
        <v>583.96100000000013</v>
      </c>
      <c r="F69" s="110">
        <f t="shared" si="9"/>
        <v>610.06400000000008</v>
      </c>
      <c r="G69" s="110">
        <f t="shared" si="9"/>
        <v>593.02300000000014</v>
      </c>
      <c r="H69" s="110">
        <f t="shared" si="9"/>
        <v>585.6690000000001</v>
      </c>
      <c r="I69" s="110">
        <f t="shared" si="9"/>
        <v>574.92200000000003</v>
      </c>
      <c r="J69" s="110">
        <f t="shared" si="9"/>
        <v>602.55199999999991</v>
      </c>
      <c r="K69" s="110">
        <f t="shared" si="9"/>
        <v>633.86699999999996</v>
      </c>
      <c r="L69" s="110">
        <f t="shared" si="9"/>
        <v>651.17699999999991</v>
      </c>
      <c r="M69" s="110">
        <f t="shared" si="9"/>
        <v>626.70600000000013</v>
      </c>
      <c r="N69" s="110">
        <f t="shared" si="9"/>
        <v>576.20499999999993</v>
      </c>
      <c r="O69" s="110">
        <f t="shared" si="9"/>
        <v>646.6690000000001</v>
      </c>
      <c r="P69" s="161"/>
      <c r="Q69" s="161"/>
      <c r="R69" s="161"/>
    </row>
    <row r="70" spans="3:19" x14ac:dyDescent="0.35">
      <c r="C70" s="105" t="s">
        <v>160</v>
      </c>
      <c r="D70" s="118">
        <v>43.222000000000001</v>
      </c>
      <c r="E70" s="118">
        <v>50.941000000000003</v>
      </c>
      <c r="F70" s="118">
        <v>31.199000000000002</v>
      </c>
      <c r="G70" s="118">
        <v>37.798999999999999</v>
      </c>
      <c r="H70" s="118">
        <v>32.399000000000001</v>
      </c>
      <c r="I70" s="118">
        <v>25.798999999999999</v>
      </c>
      <c r="J70" s="118">
        <v>31.798999999999999</v>
      </c>
      <c r="K70" s="118">
        <v>32.987000000000002</v>
      </c>
      <c r="L70" s="118">
        <v>33.113</v>
      </c>
      <c r="M70" s="118">
        <v>28.553000000000001</v>
      </c>
      <c r="N70" s="118">
        <v>18.888000000000002</v>
      </c>
      <c r="O70" s="118">
        <v>23.219000000000001</v>
      </c>
      <c r="P70" s="161"/>
      <c r="Q70" s="161"/>
      <c r="R70" s="161"/>
    </row>
    <row r="71" spans="3:19" x14ac:dyDescent="0.35">
      <c r="C71" s="105" t="s">
        <v>163</v>
      </c>
      <c r="D71" s="118">
        <v>244.11</v>
      </c>
      <c r="E71" s="118">
        <v>253.91200000000001</v>
      </c>
      <c r="F71" s="118">
        <v>267.75599999999997</v>
      </c>
      <c r="G71" s="118">
        <v>269.13200000000001</v>
      </c>
      <c r="H71" s="118">
        <v>276.69799999999998</v>
      </c>
      <c r="I71" s="118">
        <v>267.41199999999998</v>
      </c>
      <c r="J71" s="118">
        <v>282.029</v>
      </c>
      <c r="K71" s="118">
        <v>284.37700000000001</v>
      </c>
      <c r="L71" s="118">
        <v>295.48599999999999</v>
      </c>
      <c r="M71" s="118">
        <v>304.66000000000003</v>
      </c>
      <c r="N71" s="118">
        <v>283.83499999999998</v>
      </c>
      <c r="O71" s="118">
        <v>303.28500000000003</v>
      </c>
      <c r="P71" s="161"/>
      <c r="Q71" s="161"/>
      <c r="R71" s="161"/>
    </row>
    <row r="72" spans="3:19" x14ac:dyDescent="0.35">
      <c r="C72" s="105" t="s">
        <v>140</v>
      </c>
      <c r="D72" s="118">
        <v>66.402000000000001</v>
      </c>
      <c r="E72" s="118">
        <v>60.146000000000001</v>
      </c>
      <c r="F72" s="118">
        <v>63.262999999999998</v>
      </c>
      <c r="G72" s="118">
        <v>63.198999999999998</v>
      </c>
      <c r="H72" s="118">
        <v>53.890999999999998</v>
      </c>
      <c r="I72" s="118">
        <v>61.5</v>
      </c>
      <c r="J72" s="118">
        <v>65.477000000000004</v>
      </c>
      <c r="K72" s="118">
        <v>68.852999999999994</v>
      </c>
      <c r="L72" s="118">
        <v>73.108000000000004</v>
      </c>
      <c r="M72" s="118">
        <v>72.593999999999994</v>
      </c>
      <c r="N72" s="118">
        <v>69.346000000000004</v>
      </c>
      <c r="O72" s="118">
        <v>72.462999999999994</v>
      </c>
      <c r="P72" s="110">
        <f>O72*(1+N55)</f>
        <v>52.666828221050636</v>
      </c>
      <c r="Q72" s="110">
        <f>P72*(1+O55)</f>
        <v>43.892578387659107</v>
      </c>
      <c r="R72" s="110">
        <f>Q72*(1+P55)</f>
        <v>43.668841205201922</v>
      </c>
    </row>
    <row r="73" spans="3:19" x14ac:dyDescent="0.35">
      <c r="C73" s="105" t="s">
        <v>206</v>
      </c>
      <c r="D73" s="118">
        <v>205.33600000000001</v>
      </c>
      <c r="E73" s="118">
        <v>170.63200000000001</v>
      </c>
      <c r="F73" s="118">
        <v>199.58</v>
      </c>
      <c r="G73" s="118">
        <v>171.13300000000001</v>
      </c>
      <c r="H73" s="118">
        <v>169.58099999999999</v>
      </c>
      <c r="I73" s="118">
        <v>174.31</v>
      </c>
      <c r="J73" s="118">
        <v>173.71299999999999</v>
      </c>
      <c r="K73" s="118">
        <v>202.15899999999999</v>
      </c>
      <c r="L73" s="118">
        <v>201.61</v>
      </c>
      <c r="M73" s="118">
        <v>175.12200000000001</v>
      </c>
      <c r="N73" s="118">
        <v>157.82900000000001</v>
      </c>
      <c r="O73" s="118">
        <v>197.50200000000001</v>
      </c>
      <c r="P73" s="161"/>
      <c r="Q73" s="161"/>
      <c r="R73" s="161"/>
    </row>
    <row r="74" spans="3:19" x14ac:dyDescent="0.35">
      <c r="C74" s="105" t="s">
        <v>216</v>
      </c>
      <c r="D74" s="118">
        <v>4.0359999999999996</v>
      </c>
      <c r="E74" s="118">
        <v>6.173</v>
      </c>
      <c r="F74" s="118">
        <v>3.0859999999999999</v>
      </c>
      <c r="G74" s="118">
        <v>4.1950000000000003</v>
      </c>
      <c r="H74" s="118">
        <v>5.2240000000000002</v>
      </c>
      <c r="I74" s="118">
        <v>2.0470000000000002</v>
      </c>
      <c r="J74" s="118">
        <v>3.14</v>
      </c>
      <c r="K74" s="118">
        <v>3.153</v>
      </c>
      <c r="L74" s="118">
        <v>1.784</v>
      </c>
      <c r="M74" s="118">
        <v>2.2959999999999998</v>
      </c>
      <c r="N74" s="118">
        <v>2.7149999999999999</v>
      </c>
      <c r="O74" s="118">
        <v>3.0230000000000001</v>
      </c>
      <c r="P74" s="161"/>
      <c r="Q74" s="161"/>
      <c r="R74" s="161"/>
    </row>
    <row r="75" spans="3:19" x14ac:dyDescent="0.35">
      <c r="C75" s="105" t="s">
        <v>217</v>
      </c>
      <c r="D75" s="118">
        <v>5.8849999999999998</v>
      </c>
      <c r="E75" s="118">
        <v>7.6769999999999996</v>
      </c>
      <c r="F75" s="118">
        <v>9.7880000000000003</v>
      </c>
      <c r="G75" s="118">
        <v>10.143000000000001</v>
      </c>
      <c r="H75" s="118">
        <v>9.5459999999999994</v>
      </c>
      <c r="I75" s="118">
        <v>5.5289999999999999</v>
      </c>
      <c r="J75" s="118">
        <v>6.4450000000000003</v>
      </c>
      <c r="K75" s="118">
        <v>6.8019999999999996</v>
      </c>
      <c r="L75" s="118">
        <v>8.0739999999999998</v>
      </c>
      <c r="M75" s="118">
        <v>6.0830000000000002</v>
      </c>
      <c r="N75" s="118">
        <v>3.996</v>
      </c>
      <c r="O75" s="118">
        <v>4.7060000000000004</v>
      </c>
      <c r="P75" s="161"/>
      <c r="Q75" s="161"/>
      <c r="R75" s="161"/>
    </row>
    <row r="76" spans="3:19" x14ac:dyDescent="0.35">
      <c r="C76" s="105" t="s">
        <v>218</v>
      </c>
      <c r="D76" s="118">
        <v>31.709</v>
      </c>
      <c r="E76" s="118">
        <v>34.479999999999997</v>
      </c>
      <c r="F76" s="118">
        <v>35.392000000000003</v>
      </c>
      <c r="G76" s="118">
        <v>37.421999999999997</v>
      </c>
      <c r="H76" s="118">
        <v>38.33</v>
      </c>
      <c r="I76" s="118">
        <v>38.325000000000003</v>
      </c>
      <c r="J76" s="118">
        <v>39.948999999999998</v>
      </c>
      <c r="K76" s="118">
        <v>35.536000000000001</v>
      </c>
      <c r="L76" s="118">
        <v>38.002000000000002</v>
      </c>
      <c r="M76" s="118">
        <v>37.398000000000003</v>
      </c>
      <c r="N76" s="118">
        <v>39.595999999999997</v>
      </c>
      <c r="O76" s="118">
        <v>42.470999999999997</v>
      </c>
      <c r="P76" s="161"/>
      <c r="Q76" s="161"/>
      <c r="R76" s="161"/>
    </row>
    <row r="77" spans="3:19" x14ac:dyDescent="0.35">
      <c r="C77" s="105" t="s">
        <v>219</v>
      </c>
      <c r="D77" s="118">
        <v>0</v>
      </c>
      <c r="E77" s="118">
        <v>0</v>
      </c>
      <c r="F77" s="118">
        <v>0</v>
      </c>
      <c r="G77" s="118">
        <v>0</v>
      </c>
      <c r="H77" s="118">
        <v>0</v>
      </c>
      <c r="I77" s="118">
        <v>0</v>
      </c>
      <c r="J77" s="118">
        <v>0</v>
      </c>
      <c r="K77" s="118">
        <v>0</v>
      </c>
      <c r="L77" s="118">
        <v>0</v>
      </c>
      <c r="M77" s="118">
        <v>0</v>
      </c>
      <c r="N77" s="118">
        <v>0</v>
      </c>
      <c r="O77" s="118">
        <v>0</v>
      </c>
      <c r="P77" s="161"/>
      <c r="Q77" s="161"/>
      <c r="R77" s="161"/>
    </row>
    <row r="79" spans="3:19" s="99" customFormat="1" ht="13.5" x14ac:dyDescent="0.35">
      <c r="D79" s="142" t="s">
        <v>68</v>
      </c>
      <c r="E79" s="142"/>
      <c r="F79" s="142"/>
      <c r="G79" s="142"/>
      <c r="H79" s="142"/>
      <c r="I79" s="142"/>
      <c r="J79" s="142"/>
      <c r="K79" s="142"/>
      <c r="L79" s="142"/>
      <c r="M79" s="142"/>
      <c r="N79" s="142"/>
      <c r="O79" s="142"/>
      <c r="P79" s="142"/>
      <c r="Q79" s="142"/>
      <c r="R79" s="142"/>
      <c r="S79" s="142"/>
    </row>
    <row r="81" spans="3:16" x14ac:dyDescent="0.35">
      <c r="C81" s="72" t="s">
        <v>147</v>
      </c>
    </row>
    <row r="83" spans="3:16" x14ac:dyDescent="0.35">
      <c r="C83" s="9"/>
      <c r="D83" s="9">
        <v>2005</v>
      </c>
      <c r="E83" s="9">
        <v>2010</v>
      </c>
      <c r="F83" s="9">
        <v>2015</v>
      </c>
      <c r="G83" s="9">
        <v>2020</v>
      </c>
      <c r="H83" s="9">
        <v>2025</v>
      </c>
      <c r="I83" s="9">
        <v>2030</v>
      </c>
      <c r="J83" s="9">
        <v>2035</v>
      </c>
      <c r="K83" s="9">
        <v>2040</v>
      </c>
      <c r="L83" s="9">
        <v>2045</v>
      </c>
      <c r="M83" s="9">
        <v>2050</v>
      </c>
      <c r="N83" s="9" t="s">
        <v>211</v>
      </c>
      <c r="O83" s="9" t="s">
        <v>212</v>
      </c>
      <c r="P83" s="9" t="s">
        <v>213</v>
      </c>
    </row>
    <row r="84" spans="3:16" x14ac:dyDescent="0.35">
      <c r="C84" s="68" t="s">
        <v>151</v>
      </c>
      <c r="D84" s="118">
        <v>3959.4389307153497</v>
      </c>
      <c r="E84" s="118">
        <v>4002.8046198491252</v>
      </c>
      <c r="F84" s="118">
        <v>3680.199699248361</v>
      </c>
      <c r="G84" s="118">
        <v>3829.9200363358718</v>
      </c>
      <c r="H84" s="118">
        <v>3793.6687456426171</v>
      </c>
      <c r="I84" s="118">
        <v>3587.2221464681343</v>
      </c>
      <c r="J84" s="118">
        <v>3474.7881159914805</v>
      </c>
      <c r="K84" s="118">
        <v>3312.299032077944</v>
      </c>
      <c r="L84" s="118">
        <v>3159.8201998197578</v>
      </c>
      <c r="M84" s="118">
        <v>3027.0273614128955</v>
      </c>
      <c r="N84" s="139">
        <f>(I84-G84)/G84</f>
        <v>-6.3368918297294116E-2</v>
      </c>
      <c r="O84" s="139">
        <f>(K84-I84)/I84</f>
        <v>-7.6639556504988368E-2</v>
      </c>
      <c r="P84" s="139">
        <f>(M84-K84)/K84</f>
        <v>-8.6124974799176163E-2</v>
      </c>
    </row>
    <row r="85" spans="3:16" x14ac:dyDescent="0.35">
      <c r="C85" s="106" t="s">
        <v>160</v>
      </c>
      <c r="D85" s="107">
        <v>73.366</v>
      </c>
      <c r="E85" s="107">
        <v>94.072994989685455</v>
      </c>
      <c r="F85" s="107">
        <v>42.50000000000005</v>
      </c>
      <c r="G85" s="107">
        <v>31.75958820037409</v>
      </c>
      <c r="H85" s="107">
        <v>27.077546825266658</v>
      </c>
      <c r="I85" s="107">
        <v>21.46583672253562</v>
      </c>
      <c r="J85" s="107">
        <v>14.039611506962938</v>
      </c>
      <c r="K85" s="107">
        <v>7.8916356610406293</v>
      </c>
      <c r="L85" s="107">
        <v>4.6826110986300273</v>
      </c>
      <c r="M85" s="107">
        <v>3.2113655845934801</v>
      </c>
      <c r="N85" s="139">
        <f t="shared" ref="N85:N86" si="10">(I85-G85)/G85</f>
        <v>-0.32411476537083128</v>
      </c>
      <c r="O85" s="139">
        <f t="shared" ref="O85:O86" si="11">(K85-I85)/I85</f>
        <v>-0.63236300717988314</v>
      </c>
      <c r="P85" s="139">
        <f t="shared" ref="P85:P86" si="12">(M85-K85)/K85</f>
        <v>-0.59306717611821247</v>
      </c>
    </row>
    <row r="86" spans="3:16" x14ac:dyDescent="0.35">
      <c r="C86" s="106" t="s">
        <v>161</v>
      </c>
      <c r="D86" s="107">
        <v>1264.307000834729</v>
      </c>
      <c r="E86" s="107">
        <v>1327.8050726625083</v>
      </c>
      <c r="F86" s="107">
        <v>1265.1533558925339</v>
      </c>
      <c r="G86" s="107">
        <v>1321.8801898638555</v>
      </c>
      <c r="H86" s="107">
        <v>1334.0452142828028</v>
      </c>
      <c r="I86" s="107">
        <v>1150.8804646893414</v>
      </c>
      <c r="J86" s="107">
        <v>1031.9165938263145</v>
      </c>
      <c r="K86" s="107">
        <v>938.21964075054802</v>
      </c>
      <c r="L86" s="107">
        <v>866.90778432468778</v>
      </c>
      <c r="M86" s="107">
        <v>807.83503387356802</v>
      </c>
      <c r="N86" s="139">
        <f t="shared" si="10"/>
        <v>-0.12936098633275228</v>
      </c>
      <c r="O86" s="139">
        <f t="shared" si="11"/>
        <v>-0.18478098331106624</v>
      </c>
      <c r="P86" s="139">
        <f t="shared" si="12"/>
        <v>-0.13897023811255557</v>
      </c>
    </row>
    <row r="87" spans="3:16" x14ac:dyDescent="0.35">
      <c r="C87" s="106" t="s">
        <v>162</v>
      </c>
      <c r="D87" s="107">
        <v>507.92292987624512</v>
      </c>
      <c r="E87" s="107">
        <v>498.25871556182449</v>
      </c>
      <c r="F87" s="107">
        <v>316.72163408647253</v>
      </c>
      <c r="G87" s="107">
        <v>293.60120118680447</v>
      </c>
      <c r="H87" s="107">
        <v>291.91431256430371</v>
      </c>
      <c r="I87" s="107">
        <v>260.75663127770713</v>
      </c>
      <c r="J87" s="107">
        <v>291.64960121863123</v>
      </c>
      <c r="K87" s="107">
        <v>317.85608217933418</v>
      </c>
      <c r="L87" s="107">
        <v>310.01216843031398</v>
      </c>
      <c r="M87" s="107">
        <v>279.99770270139538</v>
      </c>
      <c r="N87" s="139">
        <f>(I87-G87)/G87</f>
        <v>-0.11186796844267646</v>
      </c>
      <c r="O87" s="139">
        <f>(K87-I87)/I87</f>
        <v>0.21897602611998715</v>
      </c>
      <c r="P87" s="139">
        <f>(M87-K87)/K87</f>
        <v>-0.11910541153835504</v>
      </c>
    </row>
    <row r="88" spans="3:16" x14ac:dyDescent="0.35">
      <c r="C88" s="106" t="s">
        <v>163</v>
      </c>
      <c r="D88" s="107">
        <v>492.60600000379435</v>
      </c>
      <c r="E88" s="107">
        <v>534.39600000000007</v>
      </c>
      <c r="F88" s="107">
        <v>555.54817469609441</v>
      </c>
      <c r="G88" s="107">
        <v>527.88303115542681</v>
      </c>
      <c r="H88" s="107">
        <v>603.30527966994555</v>
      </c>
      <c r="I88" s="107">
        <v>646.80158801042944</v>
      </c>
      <c r="J88" s="107">
        <v>697.53488407556347</v>
      </c>
      <c r="K88" s="107">
        <v>735.98579981854414</v>
      </c>
      <c r="L88" s="107">
        <v>765.71482644923833</v>
      </c>
      <c r="M88" s="107">
        <v>770.13628394675595</v>
      </c>
      <c r="N88" s="139">
        <f t="shared" ref="N88:N93" si="13">(I88-G88)/G88</f>
        <v>0.22527444497451357</v>
      </c>
      <c r="O88" s="139">
        <f t="shared" ref="O88:O94" si="14">(K88-I88)/I88</f>
        <v>0.13788496110908843</v>
      </c>
      <c r="P88" s="139">
        <f t="shared" ref="P88:P94" si="15">(M88-K88)/K88</f>
        <v>4.6401009552944565E-2</v>
      </c>
    </row>
    <row r="89" spans="3:16" x14ac:dyDescent="0.35">
      <c r="C89" s="106" t="s">
        <v>164</v>
      </c>
      <c r="D89" s="107">
        <v>603.27600000000007</v>
      </c>
      <c r="E89" s="107">
        <v>574.952</v>
      </c>
      <c r="F89" s="107">
        <v>503.98900000080073</v>
      </c>
      <c r="G89" s="107">
        <v>528.21850882984984</v>
      </c>
      <c r="H89" s="107">
        <v>470.42208862270314</v>
      </c>
      <c r="I89" s="107">
        <v>435.8934517235524</v>
      </c>
      <c r="J89" s="107">
        <v>409.73271647331467</v>
      </c>
      <c r="K89" s="107">
        <v>401.1537971543334</v>
      </c>
      <c r="L89" s="107">
        <v>350.14005538437073</v>
      </c>
      <c r="M89" s="107">
        <v>335.29122251900725</v>
      </c>
      <c r="N89" s="139">
        <f t="shared" si="13"/>
        <v>-0.1747857289416514</v>
      </c>
      <c r="O89" s="139">
        <f t="shared" si="14"/>
        <v>-7.9697583048921786E-2</v>
      </c>
      <c r="P89" s="139">
        <f t="shared" si="15"/>
        <v>-0.16418285231882587</v>
      </c>
    </row>
    <row r="90" spans="3:16" x14ac:dyDescent="0.35">
      <c r="C90" s="106" t="s">
        <v>165</v>
      </c>
      <c r="D90" s="107">
        <v>1017.9610000005808</v>
      </c>
      <c r="E90" s="107">
        <v>973.31983663510755</v>
      </c>
      <c r="F90" s="107">
        <v>996.28753457245875</v>
      </c>
      <c r="G90" s="107">
        <v>1126.5745952204477</v>
      </c>
      <c r="H90" s="107">
        <v>1066.8961933158143</v>
      </c>
      <c r="I90" s="107">
        <v>1071.2725724226652</v>
      </c>
      <c r="J90" s="107">
        <v>1028.9453092084077</v>
      </c>
      <c r="K90" s="107">
        <v>907.70814932839653</v>
      </c>
      <c r="L90" s="107">
        <v>855.01155211978971</v>
      </c>
      <c r="M90" s="107">
        <v>817.2049735074836</v>
      </c>
      <c r="N90" s="139">
        <f t="shared" si="13"/>
        <v>-4.9088647154306705E-2</v>
      </c>
      <c r="O90" s="139">
        <f t="shared" si="14"/>
        <v>-0.15268235863107227</v>
      </c>
      <c r="P90" s="139">
        <f t="shared" si="15"/>
        <v>-9.9705148497207227E-2</v>
      </c>
    </row>
    <row r="91" spans="3:16" x14ac:dyDescent="0.35">
      <c r="C91" s="117" t="s">
        <v>166</v>
      </c>
      <c r="D91" s="116">
        <v>1017.9610000005808</v>
      </c>
      <c r="E91" s="116">
        <v>973.31983663510755</v>
      </c>
      <c r="F91" s="116">
        <v>996.28753457245875</v>
      </c>
      <c r="G91" s="116">
        <v>1125.7481434254887</v>
      </c>
      <c r="H91" s="116">
        <v>1066.0263849746771</v>
      </c>
      <c r="I91" s="116">
        <v>1069.6621471923513</v>
      </c>
      <c r="J91" s="116">
        <v>1026.1571047856037</v>
      </c>
      <c r="K91" s="116">
        <v>903.37088265333671</v>
      </c>
      <c r="L91" s="116">
        <v>850.07240655034025</v>
      </c>
      <c r="M91" s="116">
        <v>811.64891337805398</v>
      </c>
      <c r="N91" s="139">
        <f t="shared" si="13"/>
        <v>-4.9821087035041269E-2</v>
      </c>
      <c r="O91" s="139">
        <f t="shared" si="14"/>
        <v>-0.15546148377363436</v>
      </c>
      <c r="P91" s="139">
        <f t="shared" si="15"/>
        <v>-0.10153301488518365</v>
      </c>
    </row>
    <row r="92" spans="3:16" x14ac:dyDescent="0.35">
      <c r="C92" s="117" t="s">
        <v>167</v>
      </c>
      <c r="D92" s="116">
        <v>0</v>
      </c>
      <c r="E92" s="116">
        <v>0</v>
      </c>
      <c r="F92" s="116">
        <v>0</v>
      </c>
      <c r="G92" s="116">
        <v>9.7353504376021915E-2</v>
      </c>
      <c r="H92" s="116">
        <v>0.35067776015613067</v>
      </c>
      <c r="I92" s="116">
        <v>1.2977884296530737</v>
      </c>
      <c r="J92" s="116">
        <v>2.4188618400734527</v>
      </c>
      <c r="K92" s="116">
        <v>3.9815376370988389</v>
      </c>
      <c r="L92" s="116">
        <v>4.5964243381166394</v>
      </c>
      <c r="M92" s="116">
        <v>5.280003302649634</v>
      </c>
      <c r="N92" s="139">
        <f t="shared" si="13"/>
        <v>12.330680163709832</v>
      </c>
      <c r="O92" s="139">
        <f t="shared" si="14"/>
        <v>2.0679404640425005</v>
      </c>
      <c r="P92" s="139">
        <f t="shared" si="15"/>
        <v>0.3261216604992152</v>
      </c>
    </row>
    <row r="93" spans="3:16" x14ac:dyDescent="0.35">
      <c r="C93" s="117" t="s">
        <v>169</v>
      </c>
      <c r="D93" s="116">
        <v>0</v>
      </c>
      <c r="E93" s="116">
        <v>0</v>
      </c>
      <c r="F93" s="116">
        <v>0</v>
      </c>
      <c r="G93" s="116">
        <v>0.72909829058278675</v>
      </c>
      <c r="H93" s="116">
        <v>0.51913058098119791</v>
      </c>
      <c r="I93" s="116">
        <v>0.31263680066088995</v>
      </c>
      <c r="J93" s="116">
        <v>0.3693425827304182</v>
      </c>
      <c r="K93" s="116">
        <v>0.35572903796091282</v>
      </c>
      <c r="L93" s="116">
        <v>0.34272123133279209</v>
      </c>
      <c r="M93" s="116">
        <v>0.27605682677994281</v>
      </c>
      <c r="N93" s="139">
        <f t="shared" si="13"/>
        <v>-0.57120074933793707</v>
      </c>
      <c r="O93" s="139">
        <f t="shared" si="14"/>
        <v>0.13783482049755252</v>
      </c>
      <c r="P93" s="139">
        <f t="shared" si="15"/>
        <v>-0.22396881524674497</v>
      </c>
    </row>
    <row r="94" spans="3:16" x14ac:dyDescent="0.35">
      <c r="C94" s="106" t="s">
        <v>170</v>
      </c>
      <c r="D94" s="107">
        <v>0</v>
      </c>
      <c r="E94" s="107">
        <v>0</v>
      </c>
      <c r="F94" s="107">
        <v>0</v>
      </c>
      <c r="G94" s="107">
        <v>2.9218791133953279E-3</v>
      </c>
      <c r="H94" s="107">
        <v>8.1103617806716904E-3</v>
      </c>
      <c r="I94" s="107">
        <v>0.15160162190294546</v>
      </c>
      <c r="J94" s="107">
        <v>0.96939968228589002</v>
      </c>
      <c r="K94" s="107">
        <v>3.4839271857476253</v>
      </c>
      <c r="L94" s="107">
        <v>7.3512020127275886</v>
      </c>
      <c r="M94" s="107">
        <v>13.350779280092402</v>
      </c>
      <c r="N94" s="139">
        <f>(I94-G94)/G94</f>
        <v>50.884974025081739</v>
      </c>
      <c r="O94" s="139">
        <f t="shared" si="14"/>
        <v>21.980804176211365</v>
      </c>
      <c r="P94" s="139">
        <f t="shared" si="15"/>
        <v>2.8321062893360738</v>
      </c>
    </row>
    <row r="95" spans="3:16" x14ac:dyDescent="0.35">
      <c r="C95" s="106" t="s">
        <v>171</v>
      </c>
      <c r="D95" s="107">
        <v>0</v>
      </c>
      <c r="E95" s="107">
        <v>0</v>
      </c>
      <c r="F95" s="107">
        <v>0</v>
      </c>
      <c r="G95" s="107">
        <v>0</v>
      </c>
      <c r="H95" s="107">
        <v>0</v>
      </c>
      <c r="I95" s="107">
        <v>0</v>
      </c>
      <c r="J95" s="107">
        <v>0</v>
      </c>
      <c r="K95" s="107">
        <v>0</v>
      </c>
      <c r="L95" s="107">
        <v>0</v>
      </c>
      <c r="M95" s="107">
        <v>0</v>
      </c>
      <c r="N95" s="139">
        <v>0</v>
      </c>
      <c r="O95" s="139">
        <v>0</v>
      </c>
      <c r="P95" s="139">
        <v>0</v>
      </c>
    </row>
    <row r="97" spans="3:19" x14ac:dyDescent="0.35">
      <c r="C97" s="72" t="s">
        <v>222</v>
      </c>
    </row>
    <row r="99" spans="3:19" x14ac:dyDescent="0.35">
      <c r="C99" s="9"/>
      <c r="D99" s="9">
        <v>2010</v>
      </c>
      <c r="E99" s="9">
        <v>2011</v>
      </c>
      <c r="F99" s="9">
        <v>2012</v>
      </c>
      <c r="G99" s="9">
        <v>2013</v>
      </c>
      <c r="H99" s="9">
        <v>2014</v>
      </c>
      <c r="I99" s="9">
        <v>2015</v>
      </c>
      <c r="J99" s="9">
        <v>2016</v>
      </c>
      <c r="K99" s="9">
        <v>2017</v>
      </c>
      <c r="L99" s="9">
        <v>2018</v>
      </c>
      <c r="M99" s="9">
        <v>2019</v>
      </c>
      <c r="N99" s="9">
        <v>2020</v>
      </c>
      <c r="O99" s="9">
        <v>2021</v>
      </c>
      <c r="P99" s="9">
        <v>2030</v>
      </c>
      <c r="Q99" s="9">
        <v>2040</v>
      </c>
      <c r="R99" s="9">
        <v>2050</v>
      </c>
    </row>
    <row r="100" spans="3:19" x14ac:dyDescent="0.35">
      <c r="C100" s="68" t="s">
        <v>151</v>
      </c>
      <c r="D100" s="118">
        <v>597.80100000000004</v>
      </c>
      <c r="E100" s="118">
        <v>556.70899999999995</v>
      </c>
      <c r="F100" s="118">
        <v>623.33100000000002</v>
      </c>
      <c r="G100" s="118">
        <v>600.44600000000003</v>
      </c>
      <c r="H100" s="118">
        <v>608.77200000000005</v>
      </c>
      <c r="I100" s="118">
        <v>586.30799999999999</v>
      </c>
      <c r="J100" s="118">
        <v>592.49400000000003</v>
      </c>
      <c r="K100" s="118">
        <v>607.01400000000001</v>
      </c>
      <c r="L100" s="118">
        <v>592.04499999999996</v>
      </c>
      <c r="M100" s="118">
        <v>568.82399999999996</v>
      </c>
      <c r="N100" s="118">
        <v>550.36400000000003</v>
      </c>
      <c r="O100" s="118">
        <v>600.83000000000004</v>
      </c>
      <c r="P100" s="161"/>
      <c r="Q100" s="161"/>
      <c r="R100" s="161"/>
    </row>
    <row r="101" spans="3:19" x14ac:dyDescent="0.35">
      <c r="C101" s="68" t="s">
        <v>151</v>
      </c>
      <c r="D101" s="110">
        <f t="shared" ref="D101:O101" si="16">SUM(D102:D108)</f>
        <v>597.80200000000002</v>
      </c>
      <c r="E101" s="110">
        <f t="shared" si="16"/>
        <v>556.71100000000001</v>
      </c>
      <c r="F101" s="110">
        <f t="shared" si="16"/>
        <v>623.33100000000002</v>
      </c>
      <c r="G101" s="110">
        <f t="shared" si="16"/>
        <v>600.44500000000005</v>
      </c>
      <c r="H101" s="110">
        <f t="shared" si="16"/>
        <v>608.77200000000005</v>
      </c>
      <c r="I101" s="110">
        <f t="shared" si="16"/>
        <v>586.30799999999999</v>
      </c>
      <c r="J101" s="110">
        <f t="shared" si="16"/>
        <v>592.495</v>
      </c>
      <c r="K101" s="110">
        <f t="shared" si="16"/>
        <v>607.01600000000008</v>
      </c>
      <c r="L101" s="110">
        <f t="shared" si="16"/>
        <v>592.04599999999994</v>
      </c>
      <c r="M101" s="110">
        <f t="shared" si="16"/>
        <v>568.82299999999998</v>
      </c>
      <c r="N101" s="110">
        <f t="shared" si="16"/>
        <v>550.36300000000006</v>
      </c>
      <c r="O101" s="110">
        <f t="shared" si="16"/>
        <v>600.82999999999993</v>
      </c>
      <c r="P101" s="161"/>
      <c r="Q101" s="161"/>
      <c r="R101" s="161"/>
    </row>
    <row r="102" spans="3:19" x14ac:dyDescent="0.35">
      <c r="C102" s="105" t="s">
        <v>160</v>
      </c>
      <c r="D102" s="118">
        <v>21.292999999999999</v>
      </c>
      <c r="E102" s="118">
        <v>18.788</v>
      </c>
      <c r="F102" s="118">
        <v>9.3940000000000001</v>
      </c>
      <c r="G102" s="118">
        <v>10.919</v>
      </c>
      <c r="H102" s="118">
        <v>8.0790000000000006</v>
      </c>
      <c r="I102" s="118">
        <v>6.282</v>
      </c>
      <c r="J102" s="118">
        <v>5.7539999999999996</v>
      </c>
      <c r="K102" s="118">
        <v>3.609</v>
      </c>
      <c r="L102" s="118">
        <v>2.9449999999999998</v>
      </c>
      <c r="M102" s="118">
        <v>2.1389999999999998</v>
      </c>
      <c r="N102" s="118">
        <v>1.077</v>
      </c>
      <c r="O102" s="118">
        <v>1.486</v>
      </c>
      <c r="P102" s="161"/>
      <c r="Q102" s="161"/>
      <c r="R102" s="161"/>
    </row>
    <row r="103" spans="3:19" x14ac:dyDescent="0.35">
      <c r="C103" s="105" t="s">
        <v>163</v>
      </c>
      <c r="D103" s="118">
        <v>208.083</v>
      </c>
      <c r="E103" s="118">
        <v>213.84399999999999</v>
      </c>
      <c r="F103" s="118">
        <v>240.58500000000001</v>
      </c>
      <c r="G103" s="118">
        <v>232.416</v>
      </c>
      <c r="H103" s="118">
        <v>247.80699999999999</v>
      </c>
      <c r="I103" s="118">
        <v>234.30799999999999</v>
      </c>
      <c r="J103" s="118">
        <v>234.99600000000001</v>
      </c>
      <c r="K103" s="118">
        <v>237.72200000000001</v>
      </c>
      <c r="L103" s="118">
        <v>245.572</v>
      </c>
      <c r="M103" s="118">
        <v>244.917</v>
      </c>
      <c r="N103" s="118">
        <v>225.11</v>
      </c>
      <c r="O103" s="118">
        <v>232.68799999999999</v>
      </c>
      <c r="P103" s="161"/>
      <c r="Q103" s="161"/>
      <c r="R103" s="161"/>
    </row>
    <row r="104" spans="3:19" x14ac:dyDescent="0.35">
      <c r="C104" s="105" t="s">
        <v>140</v>
      </c>
      <c r="D104" s="118">
        <v>115.563</v>
      </c>
      <c r="E104" s="118">
        <v>104.407</v>
      </c>
      <c r="F104" s="118">
        <v>97.978999999999999</v>
      </c>
      <c r="G104" s="118">
        <v>83.641000000000005</v>
      </c>
      <c r="H104" s="118">
        <v>90.628</v>
      </c>
      <c r="I104" s="118">
        <v>85.575999999999993</v>
      </c>
      <c r="J104" s="118">
        <v>94.152000000000001</v>
      </c>
      <c r="K104" s="118">
        <v>101.053</v>
      </c>
      <c r="L104" s="118">
        <v>105.029</v>
      </c>
      <c r="M104" s="118">
        <v>110.05200000000001</v>
      </c>
      <c r="N104" s="118">
        <v>111.238</v>
      </c>
      <c r="O104" s="118">
        <v>117.69799999999999</v>
      </c>
      <c r="P104" s="110">
        <f>O104*(1+N87)</f>
        <v>104.53136385023386</v>
      </c>
      <c r="Q104" s="110">
        <f>P104*(1+O87)</f>
        <v>127.42122651106055</v>
      </c>
      <c r="R104" s="110">
        <f>Q104*(1+P87)</f>
        <v>112.24466888873873</v>
      </c>
    </row>
    <row r="105" spans="3:19" x14ac:dyDescent="0.35">
      <c r="C105" s="105" t="s">
        <v>206</v>
      </c>
      <c r="D105" s="118">
        <v>136.453</v>
      </c>
      <c r="E105" s="118">
        <v>118.65900000000001</v>
      </c>
      <c r="F105" s="118">
        <v>137.21700000000001</v>
      </c>
      <c r="G105" s="118">
        <v>132.846</v>
      </c>
      <c r="H105" s="118">
        <v>126.27800000000001</v>
      </c>
      <c r="I105" s="118">
        <v>124.821</v>
      </c>
      <c r="J105" s="118">
        <v>141.51599999999999</v>
      </c>
      <c r="K105" s="118">
        <v>142.25899999999999</v>
      </c>
      <c r="L105" s="118">
        <v>128.95699999999999</v>
      </c>
      <c r="M105" s="118">
        <v>124.34699999999999</v>
      </c>
      <c r="N105" s="118">
        <v>128.21299999999999</v>
      </c>
      <c r="O105" s="118">
        <v>147.94999999999999</v>
      </c>
      <c r="P105" s="161"/>
      <c r="Q105" s="161"/>
      <c r="R105" s="161"/>
    </row>
    <row r="106" spans="3:19" x14ac:dyDescent="0.35">
      <c r="C106" s="105" t="s">
        <v>216</v>
      </c>
      <c r="D106" s="118">
        <v>35.655999999999999</v>
      </c>
      <c r="E106" s="118">
        <v>31.603999999999999</v>
      </c>
      <c r="F106" s="118">
        <v>42.805</v>
      </c>
      <c r="G106" s="118">
        <v>44.87</v>
      </c>
      <c r="H106" s="118">
        <v>48.966999999999999</v>
      </c>
      <c r="I106" s="118">
        <v>52.012</v>
      </c>
      <c r="J106" s="118">
        <v>35.92</v>
      </c>
      <c r="K106" s="118">
        <v>36.171999999999997</v>
      </c>
      <c r="L106" s="118">
        <v>37.646000000000001</v>
      </c>
      <c r="M106" s="118">
        <v>27.699000000000002</v>
      </c>
      <c r="N106" s="118">
        <v>35.795000000000002</v>
      </c>
      <c r="O106" s="118">
        <v>49.8</v>
      </c>
      <c r="P106" s="161"/>
      <c r="Q106" s="161"/>
      <c r="R106" s="161"/>
    </row>
    <row r="107" spans="3:19" x14ac:dyDescent="0.35">
      <c r="C107" s="105" t="s">
        <v>217</v>
      </c>
      <c r="D107" s="118">
        <v>0</v>
      </c>
      <c r="E107" s="118">
        <v>0</v>
      </c>
      <c r="F107" s="118">
        <v>0.72</v>
      </c>
      <c r="G107" s="118">
        <v>0</v>
      </c>
      <c r="H107" s="118">
        <v>0.24</v>
      </c>
      <c r="I107" s="118">
        <v>0</v>
      </c>
      <c r="J107" s="118">
        <v>0</v>
      </c>
      <c r="K107" s="118">
        <v>0.26800000000000002</v>
      </c>
      <c r="L107" s="118">
        <v>0.72799999999999998</v>
      </c>
      <c r="M107" s="118">
        <v>0.55000000000000004</v>
      </c>
      <c r="N107" s="118">
        <v>0.46700000000000003</v>
      </c>
      <c r="O107" s="118">
        <v>0.497</v>
      </c>
      <c r="P107" s="161"/>
      <c r="Q107" s="161"/>
      <c r="R107" s="161"/>
    </row>
    <row r="108" spans="3:19" x14ac:dyDescent="0.35">
      <c r="C108" s="105" t="s">
        <v>218</v>
      </c>
      <c r="D108" s="118">
        <v>80.754000000000005</v>
      </c>
      <c r="E108" s="118">
        <v>69.409000000000006</v>
      </c>
      <c r="F108" s="118">
        <v>94.631</v>
      </c>
      <c r="G108" s="118">
        <v>95.753</v>
      </c>
      <c r="H108" s="118">
        <v>86.772999999999996</v>
      </c>
      <c r="I108" s="118">
        <v>83.308999999999997</v>
      </c>
      <c r="J108" s="118">
        <v>80.156999999999996</v>
      </c>
      <c r="K108" s="118">
        <v>85.933000000000007</v>
      </c>
      <c r="L108" s="118">
        <v>71.168999999999997</v>
      </c>
      <c r="M108" s="118">
        <v>59.119</v>
      </c>
      <c r="N108" s="118">
        <v>48.463000000000001</v>
      </c>
      <c r="O108" s="118">
        <v>50.710999999999999</v>
      </c>
      <c r="P108" s="161"/>
      <c r="Q108" s="161"/>
      <c r="R108" s="161"/>
    </row>
    <row r="109" spans="3:19" x14ac:dyDescent="0.35">
      <c r="C109" s="105" t="s">
        <v>219</v>
      </c>
      <c r="D109" s="118">
        <v>0</v>
      </c>
      <c r="E109" s="118">
        <v>0</v>
      </c>
      <c r="F109" s="118">
        <v>0</v>
      </c>
      <c r="G109" s="118">
        <v>0</v>
      </c>
      <c r="H109" s="118">
        <v>0</v>
      </c>
      <c r="I109" s="118">
        <v>0</v>
      </c>
      <c r="J109" s="118">
        <v>0</v>
      </c>
      <c r="K109" s="118">
        <v>0</v>
      </c>
      <c r="L109" s="118">
        <v>0</v>
      </c>
      <c r="M109" s="118">
        <v>0</v>
      </c>
      <c r="N109" s="118">
        <v>0</v>
      </c>
      <c r="O109" s="118">
        <v>0</v>
      </c>
      <c r="P109" s="161"/>
      <c r="Q109" s="161"/>
      <c r="R109" s="161"/>
    </row>
    <row r="111" spans="3:19" s="99" customFormat="1" ht="13.5" x14ac:dyDescent="0.35">
      <c r="D111" s="142" t="s">
        <v>70</v>
      </c>
      <c r="E111" s="142"/>
      <c r="F111" s="142"/>
      <c r="G111" s="142"/>
      <c r="H111" s="142"/>
      <c r="I111" s="142"/>
      <c r="J111" s="142"/>
      <c r="K111" s="142"/>
      <c r="L111" s="142"/>
      <c r="M111" s="142"/>
      <c r="N111" s="142"/>
      <c r="O111" s="142"/>
      <c r="P111" s="142"/>
      <c r="Q111" s="142"/>
      <c r="R111" s="142"/>
      <c r="S111" s="142"/>
    </row>
    <row r="113" spans="3:16" x14ac:dyDescent="0.35">
      <c r="C113" s="72" t="s">
        <v>147</v>
      </c>
    </row>
    <row r="115" spans="3:16" x14ac:dyDescent="0.35">
      <c r="C115" s="9"/>
      <c r="D115" s="9">
        <v>2005</v>
      </c>
      <c r="E115" s="9">
        <v>2010</v>
      </c>
      <c r="F115" s="9">
        <v>2015</v>
      </c>
      <c r="G115" s="9">
        <v>2020</v>
      </c>
      <c r="H115" s="9">
        <v>2025</v>
      </c>
      <c r="I115" s="9">
        <v>2030</v>
      </c>
      <c r="J115" s="9">
        <v>2035</v>
      </c>
      <c r="K115" s="9">
        <v>2040</v>
      </c>
      <c r="L115" s="9">
        <v>2045</v>
      </c>
      <c r="M115" s="9">
        <v>2050</v>
      </c>
      <c r="N115" s="9" t="s">
        <v>211</v>
      </c>
      <c r="O115" s="9" t="s">
        <v>212</v>
      </c>
      <c r="P115" s="9" t="s">
        <v>213</v>
      </c>
    </row>
    <row r="116" spans="3:16" x14ac:dyDescent="0.35">
      <c r="C116" s="68" t="s">
        <v>151</v>
      </c>
      <c r="D116" s="118">
        <v>24084.181986215117</v>
      </c>
      <c r="E116" s="118">
        <v>25320.750519708236</v>
      </c>
      <c r="F116" s="118">
        <v>23300.939979244038</v>
      </c>
      <c r="G116" s="118">
        <v>22996.301638751163</v>
      </c>
      <c r="H116" s="118">
        <v>23961.288264341787</v>
      </c>
      <c r="I116" s="118">
        <v>24018.85681471624</v>
      </c>
      <c r="J116" s="118">
        <v>22968.1216234733</v>
      </c>
      <c r="K116" s="118">
        <v>22279.988055773814</v>
      </c>
      <c r="L116" s="118">
        <v>22112.829464444545</v>
      </c>
      <c r="M116" s="118">
        <v>22230.086291867308</v>
      </c>
      <c r="N116" s="139">
        <f>(I116-G116)/G116</f>
        <v>4.4466070763394629E-2</v>
      </c>
      <c r="O116" s="139">
        <f>(K116-I116)/I116</f>
        <v>-7.2395983387395418E-2</v>
      </c>
      <c r="P116" s="139">
        <f>(M116-K116)/K116</f>
        <v>-2.2397572108919512E-3</v>
      </c>
    </row>
    <row r="117" spans="3:16" x14ac:dyDescent="0.35">
      <c r="C117" s="106" t="s">
        <v>160</v>
      </c>
      <c r="D117" s="107">
        <v>570.92966666666689</v>
      </c>
      <c r="E117" s="107">
        <v>528.35250000000008</v>
      </c>
      <c r="F117" s="107">
        <v>347.30944184982434</v>
      </c>
      <c r="G117" s="107">
        <v>251.35029475225815</v>
      </c>
      <c r="H117" s="107">
        <v>257.62423615858296</v>
      </c>
      <c r="I117" s="107">
        <v>289.95846074129588</v>
      </c>
      <c r="J117" s="107">
        <v>102.12997244887245</v>
      </c>
      <c r="K117" s="107">
        <v>54.025972994415724</v>
      </c>
      <c r="L117" s="107">
        <v>26.02664770221455</v>
      </c>
      <c r="M117" s="107">
        <v>21.931432872857037</v>
      </c>
      <c r="N117" s="139">
        <f t="shared" ref="N117:N118" si="17">(I117-G117)/G117</f>
        <v>0.15360302651362168</v>
      </c>
      <c r="O117" s="139">
        <f t="shared" ref="O117:O118" si="18">(K117-I117)/I117</f>
        <v>-0.81367685269022627</v>
      </c>
      <c r="P117" s="139">
        <f t="shared" ref="P117:P118" si="19">(M117-K117)/K117</f>
        <v>-0.59405760493894422</v>
      </c>
    </row>
    <row r="118" spans="3:16" x14ac:dyDescent="0.35">
      <c r="C118" s="106" t="s">
        <v>161</v>
      </c>
      <c r="D118" s="107">
        <v>7423.5607798575311</v>
      </c>
      <c r="E118" s="107">
        <v>6940.7497059435973</v>
      </c>
      <c r="F118" s="107">
        <v>5968.3899571546108</v>
      </c>
      <c r="G118" s="107">
        <v>5549.3350518909137</v>
      </c>
      <c r="H118" s="107">
        <v>5425.7562914041446</v>
      </c>
      <c r="I118" s="107">
        <v>4400.5426956022366</v>
      </c>
      <c r="J118" s="107">
        <v>3677.2522875070676</v>
      </c>
      <c r="K118" s="107">
        <v>2695.4203746374565</v>
      </c>
      <c r="L118" s="107">
        <v>2297.4272441336875</v>
      </c>
      <c r="M118" s="107">
        <v>2110.5526635148808</v>
      </c>
      <c r="N118" s="139">
        <f t="shared" si="17"/>
        <v>-0.20701441624023598</v>
      </c>
      <c r="O118" s="139">
        <f t="shared" si="18"/>
        <v>-0.38748000847005198</v>
      </c>
      <c r="P118" s="139">
        <f t="shared" si="19"/>
        <v>-0.21698571273923919</v>
      </c>
    </row>
    <row r="119" spans="3:16" x14ac:dyDescent="0.35">
      <c r="C119" s="106" t="s">
        <v>162</v>
      </c>
      <c r="D119" s="107">
        <v>983.04971797508745</v>
      </c>
      <c r="E119" s="107">
        <v>957.62128442935568</v>
      </c>
      <c r="F119" s="107">
        <v>551.09036493005362</v>
      </c>
      <c r="G119" s="107">
        <v>350.05875523371981</v>
      </c>
      <c r="H119" s="107">
        <v>212.14727806729698</v>
      </c>
      <c r="I119" s="107">
        <v>320.74419978039697</v>
      </c>
      <c r="J119" s="107">
        <v>406.85469532084647</v>
      </c>
      <c r="K119" s="107">
        <v>560.98236996335936</v>
      </c>
      <c r="L119" s="107">
        <v>633.04702380668004</v>
      </c>
      <c r="M119" s="107">
        <v>666.63935672882383</v>
      </c>
      <c r="N119" s="139">
        <f>(I119-G119)/G119</f>
        <v>-8.3741814809775911E-2</v>
      </c>
      <c r="O119" s="139">
        <f>(K119-I119)/I119</f>
        <v>0.74900238366725136</v>
      </c>
      <c r="P119" s="139">
        <f>(M119-K119)/K119</f>
        <v>0.18834279368238518</v>
      </c>
    </row>
    <row r="120" spans="3:16" x14ac:dyDescent="0.35">
      <c r="C120" s="106" t="s">
        <v>163</v>
      </c>
      <c r="D120" s="107">
        <v>6943.1660000015436</v>
      </c>
      <c r="E120" s="107">
        <v>7179.7079999999996</v>
      </c>
      <c r="F120" s="107">
        <v>6748.5789999999943</v>
      </c>
      <c r="G120" s="107">
        <v>6677.6817840867707</v>
      </c>
      <c r="H120" s="107">
        <v>7115.4710979665406</v>
      </c>
      <c r="I120" s="107">
        <v>7794.9547426663958</v>
      </c>
      <c r="J120" s="107">
        <v>7951.0518427551906</v>
      </c>
      <c r="K120" s="107">
        <v>8341.146632912285</v>
      </c>
      <c r="L120" s="107">
        <v>8534.7735149088949</v>
      </c>
      <c r="M120" s="107">
        <v>8705.2821307015674</v>
      </c>
      <c r="N120" s="139">
        <f t="shared" ref="N120:N125" si="20">(I120-G120)/G120</f>
        <v>0.16731449546489907</v>
      </c>
      <c r="O120" s="139">
        <f t="shared" ref="O120:O126" si="21">(K120-I120)/I120</f>
        <v>7.006992449311579E-2</v>
      </c>
      <c r="P120" s="139">
        <f t="shared" ref="P120:P126" si="22">(M120-K120)/K120</f>
        <v>4.3655328675374895E-2</v>
      </c>
    </row>
    <row r="121" spans="3:16" x14ac:dyDescent="0.35">
      <c r="C121" s="106" t="s">
        <v>164</v>
      </c>
      <c r="D121" s="107">
        <v>3845.3229999999999</v>
      </c>
      <c r="E121" s="107">
        <v>4554.1959999999999</v>
      </c>
      <c r="F121" s="107">
        <v>3830.492000001434</v>
      </c>
      <c r="G121" s="107">
        <v>3701.6304681947122</v>
      </c>
      <c r="H121" s="107">
        <v>4244.5551684814445</v>
      </c>
      <c r="I121" s="107">
        <v>4220.6695368060809</v>
      </c>
      <c r="J121" s="107">
        <v>4055.7814967028144</v>
      </c>
      <c r="K121" s="107">
        <v>4172.0701736813999</v>
      </c>
      <c r="L121" s="107">
        <v>4227.9023767944918</v>
      </c>
      <c r="M121" s="107">
        <v>4222.3564083323627</v>
      </c>
      <c r="N121" s="139">
        <f t="shared" si="20"/>
        <v>0.14021903943980243</v>
      </c>
      <c r="O121" s="139">
        <f t="shared" si="21"/>
        <v>-1.1514609874303926E-2</v>
      </c>
      <c r="P121" s="139">
        <f t="shared" si="22"/>
        <v>1.2053065398607772E-2</v>
      </c>
    </row>
    <row r="122" spans="3:16" x14ac:dyDescent="0.35">
      <c r="C122" s="106" t="s">
        <v>165</v>
      </c>
      <c r="D122" s="107">
        <v>4318.1528217142868</v>
      </c>
      <c r="E122" s="107">
        <v>5160.1230293352792</v>
      </c>
      <c r="F122" s="107">
        <v>5855.0792153081229</v>
      </c>
      <c r="G122" s="107">
        <v>6466.2350130918658</v>
      </c>
      <c r="H122" s="107">
        <v>6705.6415801999947</v>
      </c>
      <c r="I122" s="107">
        <v>6991.1745762253558</v>
      </c>
      <c r="J122" s="107">
        <v>6766.9683752118226</v>
      </c>
      <c r="K122" s="107">
        <v>6441.1985414417886</v>
      </c>
      <c r="L122" s="107">
        <v>6374.5230266263197</v>
      </c>
      <c r="M122" s="107">
        <v>6482.8817962227085</v>
      </c>
      <c r="N122" s="139">
        <f t="shared" si="20"/>
        <v>8.1181640022466084E-2</v>
      </c>
      <c r="O122" s="139">
        <f t="shared" si="21"/>
        <v>-7.8667186577467477E-2</v>
      </c>
      <c r="P122" s="139">
        <f t="shared" si="22"/>
        <v>6.471350714115638E-3</v>
      </c>
    </row>
    <row r="123" spans="3:16" x14ac:dyDescent="0.35">
      <c r="C123" s="117" t="s">
        <v>166</v>
      </c>
      <c r="D123" s="116">
        <v>4266.3140000000012</v>
      </c>
      <c r="E123" s="116">
        <v>4929.2313956209937</v>
      </c>
      <c r="F123" s="116">
        <v>5433.5812751365083</v>
      </c>
      <c r="G123" s="116">
        <v>5931.3258067481884</v>
      </c>
      <c r="H123" s="116">
        <v>6218.7569584625153</v>
      </c>
      <c r="I123" s="116">
        <v>6426.9198123095866</v>
      </c>
      <c r="J123" s="116">
        <v>6213.7178872048862</v>
      </c>
      <c r="K123" s="116">
        <v>5883.8491617165128</v>
      </c>
      <c r="L123" s="116">
        <v>5809.0534426421709</v>
      </c>
      <c r="M123" s="116">
        <v>5877.6732595778049</v>
      </c>
      <c r="N123" s="139">
        <f t="shared" si="20"/>
        <v>8.3555350305921663E-2</v>
      </c>
      <c r="O123" s="139">
        <f t="shared" si="21"/>
        <v>-8.4499366174278639E-2</v>
      </c>
      <c r="P123" s="139">
        <f t="shared" si="22"/>
        <v>-1.0496363807032372E-3</v>
      </c>
    </row>
    <row r="124" spans="3:16" x14ac:dyDescent="0.35">
      <c r="C124" s="117" t="s">
        <v>167</v>
      </c>
      <c r="D124" s="116">
        <v>0.47799999999999998</v>
      </c>
      <c r="E124" s="116">
        <v>0.93100000000000016</v>
      </c>
      <c r="F124" s="116">
        <v>1.4810000000000005</v>
      </c>
      <c r="G124" s="116">
        <v>2.2930628753061368</v>
      </c>
      <c r="H124" s="116">
        <v>9.1903757131882227</v>
      </c>
      <c r="I124" s="116">
        <v>17.150988473153138</v>
      </c>
      <c r="J124" s="116">
        <v>25.820446616417119</v>
      </c>
      <c r="K124" s="116">
        <v>35.061345538589535</v>
      </c>
      <c r="L124" s="116">
        <v>41.44313751468114</v>
      </c>
      <c r="M124" s="116">
        <v>42.957059735209263</v>
      </c>
      <c r="N124" s="139">
        <f t="shared" si="20"/>
        <v>6.4795107704420811</v>
      </c>
      <c r="O124" s="139">
        <f t="shared" si="21"/>
        <v>1.0442755001247839</v>
      </c>
      <c r="P124" s="139">
        <f t="shared" si="22"/>
        <v>0.22519712450651605</v>
      </c>
    </row>
    <row r="125" spans="3:16" x14ac:dyDescent="0.35">
      <c r="C125" s="117" t="s">
        <v>169</v>
      </c>
      <c r="D125" s="116">
        <v>51.360821714285706</v>
      </c>
      <c r="E125" s="116">
        <v>229.96063371428571</v>
      </c>
      <c r="F125" s="116">
        <v>420.01694017161509</v>
      </c>
      <c r="G125" s="116">
        <v>532.61614346837109</v>
      </c>
      <c r="H125" s="116">
        <v>477.69424602429069</v>
      </c>
      <c r="I125" s="116">
        <v>547.10377544261587</v>
      </c>
      <c r="J125" s="116">
        <v>527.43004139051959</v>
      </c>
      <c r="K125" s="116">
        <v>522.28803418668667</v>
      </c>
      <c r="L125" s="116">
        <v>524.02644646946726</v>
      </c>
      <c r="M125" s="116">
        <v>562.25147690969447</v>
      </c>
      <c r="N125" s="139">
        <f t="shared" si="20"/>
        <v>2.7200887828712824E-2</v>
      </c>
      <c r="O125" s="139">
        <f t="shared" si="21"/>
        <v>-4.5358380566562273E-2</v>
      </c>
      <c r="P125" s="139">
        <f t="shared" si="22"/>
        <v>7.6516098603023455E-2</v>
      </c>
    </row>
    <row r="126" spans="3:16" x14ac:dyDescent="0.35">
      <c r="C126" s="106" t="s">
        <v>170</v>
      </c>
      <c r="D126" s="107">
        <v>0</v>
      </c>
      <c r="E126" s="107">
        <v>0</v>
      </c>
      <c r="F126" s="107">
        <v>0</v>
      </c>
      <c r="G126" s="107">
        <v>1.0271500923540573E-2</v>
      </c>
      <c r="H126" s="107">
        <v>9.2612063787527954E-2</v>
      </c>
      <c r="I126" s="107">
        <v>0.81260289447805423</v>
      </c>
      <c r="J126" s="107">
        <v>8.0829535266861896</v>
      </c>
      <c r="K126" s="107">
        <v>15.143990143108406</v>
      </c>
      <c r="L126" s="107">
        <v>19.129630472257336</v>
      </c>
      <c r="M126" s="107">
        <v>20.442503494105438</v>
      </c>
      <c r="N126" s="139">
        <f>(I126-G126)/G126</f>
        <v>78.112380997377258</v>
      </c>
      <c r="O126" s="139">
        <f t="shared" si="21"/>
        <v>17.636396997866459</v>
      </c>
      <c r="P126" s="139">
        <f t="shared" si="22"/>
        <v>0.34987564710006319</v>
      </c>
    </row>
    <row r="127" spans="3:16" x14ac:dyDescent="0.35">
      <c r="C127" s="106" t="s">
        <v>171</v>
      </c>
      <c r="D127" s="107">
        <v>0</v>
      </c>
      <c r="E127" s="107">
        <v>0</v>
      </c>
      <c r="F127" s="107">
        <v>0</v>
      </c>
      <c r="G127" s="107">
        <v>0</v>
      </c>
      <c r="H127" s="107">
        <v>0</v>
      </c>
      <c r="I127" s="107">
        <v>0</v>
      </c>
      <c r="J127" s="107">
        <v>0</v>
      </c>
      <c r="K127" s="107">
        <v>0</v>
      </c>
      <c r="L127" s="107">
        <v>0</v>
      </c>
      <c r="M127" s="107">
        <v>0</v>
      </c>
      <c r="N127" s="139">
        <v>0</v>
      </c>
      <c r="O127" s="139">
        <v>0</v>
      </c>
      <c r="P127" s="139">
        <v>0</v>
      </c>
    </row>
    <row r="129" spans="3:19" x14ac:dyDescent="0.35">
      <c r="C129" s="72" t="s">
        <v>222</v>
      </c>
    </row>
    <row r="131" spans="3:19" x14ac:dyDescent="0.35">
      <c r="C131" s="9"/>
      <c r="D131" s="9">
        <v>2010</v>
      </c>
      <c r="E131" s="9">
        <v>2011</v>
      </c>
      <c r="F131" s="9">
        <v>2012</v>
      </c>
      <c r="G131" s="9">
        <v>2013</v>
      </c>
      <c r="H131" s="9">
        <v>2014</v>
      </c>
      <c r="I131" s="9">
        <v>2015</v>
      </c>
      <c r="J131" s="9">
        <v>2016</v>
      </c>
      <c r="K131" s="9">
        <v>2017</v>
      </c>
      <c r="L131" s="9">
        <v>2018</v>
      </c>
      <c r="M131" s="9">
        <v>2019</v>
      </c>
      <c r="N131" s="9">
        <v>2020</v>
      </c>
      <c r="O131" s="9">
        <v>2021</v>
      </c>
      <c r="P131" s="9">
        <v>2030</v>
      </c>
      <c r="Q131" s="9">
        <v>2040</v>
      </c>
      <c r="R131" s="9">
        <v>2050</v>
      </c>
    </row>
    <row r="132" spans="3:19" x14ac:dyDescent="0.35">
      <c r="C132" s="68" t="s">
        <v>151</v>
      </c>
      <c r="D132" s="118">
        <v>3103.2330000000002</v>
      </c>
      <c r="E132" s="118">
        <v>2869.1590000000001</v>
      </c>
      <c r="F132" s="118">
        <v>3032.0990000000002</v>
      </c>
      <c r="G132" s="118">
        <v>2908.404</v>
      </c>
      <c r="H132" s="118">
        <v>2892.4189999999999</v>
      </c>
      <c r="I132" s="118">
        <v>2739.31</v>
      </c>
      <c r="J132" s="118">
        <v>2892.6219999999998</v>
      </c>
      <c r="K132" s="118">
        <v>2962.1610000000001</v>
      </c>
      <c r="L132" s="118">
        <v>3080.9209999999998</v>
      </c>
      <c r="M132" s="118">
        <v>3017.2910000000002</v>
      </c>
      <c r="N132" s="118">
        <v>2777.2939999999999</v>
      </c>
      <c r="O132" s="118">
        <v>3082.2220000000002</v>
      </c>
      <c r="P132" s="161"/>
      <c r="Q132" s="161"/>
      <c r="R132" s="161"/>
    </row>
    <row r="133" spans="3:19" x14ac:dyDescent="0.35">
      <c r="C133" s="68" t="s">
        <v>151</v>
      </c>
      <c r="D133" s="110">
        <f t="shared" ref="D133:O133" si="23">SUM(D134:D140)</f>
        <v>3101.2750000000005</v>
      </c>
      <c r="E133" s="110">
        <f t="shared" si="23"/>
        <v>2866.962</v>
      </c>
      <c r="F133" s="110">
        <f t="shared" si="23"/>
        <v>3030.4289999999996</v>
      </c>
      <c r="G133" s="110">
        <f t="shared" si="23"/>
        <v>2907.8080000000004</v>
      </c>
      <c r="H133" s="110">
        <f t="shared" si="23"/>
        <v>2891.105</v>
      </c>
      <c r="I133" s="110">
        <f t="shared" si="23"/>
        <v>2737.8760000000002</v>
      </c>
      <c r="J133" s="110">
        <f t="shared" si="23"/>
        <v>2891.0229999999997</v>
      </c>
      <c r="K133" s="110">
        <f t="shared" si="23"/>
        <v>2960.7030000000004</v>
      </c>
      <c r="L133" s="110">
        <f t="shared" si="23"/>
        <v>3079.154</v>
      </c>
      <c r="M133" s="110">
        <f t="shared" si="23"/>
        <v>3015.9530000000004</v>
      </c>
      <c r="N133" s="110">
        <f t="shared" si="23"/>
        <v>2775.7429999999995</v>
      </c>
      <c r="O133" s="110">
        <f t="shared" si="23"/>
        <v>3080.3119999999999</v>
      </c>
      <c r="P133" s="161"/>
      <c r="Q133" s="161"/>
      <c r="R133" s="161"/>
    </row>
    <row r="134" spans="3:19" x14ac:dyDescent="0.35">
      <c r="C134" s="105" t="s">
        <v>160</v>
      </c>
      <c r="D134" s="118">
        <v>0</v>
      </c>
      <c r="E134" s="118">
        <v>0</v>
      </c>
      <c r="F134" s="118">
        <v>0</v>
      </c>
      <c r="G134" s="118">
        <v>0</v>
      </c>
      <c r="H134" s="118">
        <v>0</v>
      </c>
      <c r="I134" s="118">
        <v>0</v>
      </c>
      <c r="J134" s="118">
        <v>0</v>
      </c>
      <c r="K134" s="118">
        <v>0</v>
      </c>
      <c r="L134" s="118">
        <v>0</v>
      </c>
      <c r="M134" s="118">
        <v>0</v>
      </c>
      <c r="N134" s="118">
        <v>0</v>
      </c>
      <c r="O134" s="118">
        <v>0</v>
      </c>
      <c r="P134" s="161"/>
      <c r="Q134" s="161"/>
      <c r="R134" s="161"/>
    </row>
    <row r="135" spans="3:19" x14ac:dyDescent="0.35">
      <c r="C135" s="105" t="s">
        <v>163</v>
      </c>
      <c r="D135" s="118">
        <v>1534.48</v>
      </c>
      <c r="E135" s="118">
        <v>1484.3510000000001</v>
      </c>
      <c r="F135" s="118">
        <v>1535.4259999999999</v>
      </c>
      <c r="G135" s="118">
        <v>1505.1590000000001</v>
      </c>
      <c r="H135" s="118">
        <v>1501.204</v>
      </c>
      <c r="I135" s="118">
        <v>1500.43</v>
      </c>
      <c r="J135" s="118">
        <v>1517.1969999999999</v>
      </c>
      <c r="K135" s="118">
        <v>1506.4490000000001</v>
      </c>
      <c r="L135" s="118">
        <v>1564.9179999999999</v>
      </c>
      <c r="M135" s="118">
        <v>1536.2850000000001</v>
      </c>
      <c r="N135" s="118">
        <v>1423.2159999999999</v>
      </c>
      <c r="O135" s="118">
        <v>1474.807</v>
      </c>
      <c r="P135" s="161"/>
      <c r="Q135" s="161"/>
      <c r="R135" s="161"/>
    </row>
    <row r="136" spans="3:19" x14ac:dyDescent="0.35">
      <c r="C136" s="105" t="s">
        <v>140</v>
      </c>
      <c r="D136" s="118">
        <v>30.567</v>
      </c>
      <c r="E136" s="118">
        <v>37.06</v>
      </c>
      <c r="F136" s="118">
        <v>33.533999999999999</v>
      </c>
      <c r="G136" s="118">
        <v>34.759</v>
      </c>
      <c r="H136" s="118">
        <v>29.901</v>
      </c>
      <c r="I136" s="118">
        <v>28.375</v>
      </c>
      <c r="J136" s="118">
        <v>29.234999999999999</v>
      </c>
      <c r="K136" s="118">
        <v>28.872</v>
      </c>
      <c r="L136" s="118">
        <v>25.797999999999998</v>
      </c>
      <c r="M136" s="118">
        <v>27.088000000000001</v>
      </c>
      <c r="N136" s="118">
        <v>23.67</v>
      </c>
      <c r="O136" s="118">
        <v>29.367000000000001</v>
      </c>
      <c r="P136" s="110">
        <f>O136*(1+N119)</f>
        <v>26.907754124481311</v>
      </c>
      <c r="Q136" s="110">
        <f>P136*(1+O119)</f>
        <v>47.061726102850123</v>
      </c>
      <c r="R136" s="110">
        <f>Q136*(1+P119)</f>
        <v>55.925463072576143</v>
      </c>
    </row>
    <row r="137" spans="3:19" x14ac:dyDescent="0.35">
      <c r="C137" s="105" t="s">
        <v>206</v>
      </c>
      <c r="D137" s="118">
        <v>1122.9580000000001</v>
      </c>
      <c r="E137" s="118">
        <v>986.14700000000005</v>
      </c>
      <c r="F137" s="118">
        <v>1061.5029999999999</v>
      </c>
      <c r="G137" s="118">
        <v>1011.178</v>
      </c>
      <c r="H137" s="118">
        <v>1002.58</v>
      </c>
      <c r="I137" s="118">
        <v>882.20100000000002</v>
      </c>
      <c r="J137" s="118">
        <v>985.71699999999998</v>
      </c>
      <c r="K137" s="118">
        <v>1023.383</v>
      </c>
      <c r="L137" s="118">
        <v>1082.02</v>
      </c>
      <c r="M137" s="118">
        <v>1046.7180000000001</v>
      </c>
      <c r="N137" s="118">
        <v>952.87599999999998</v>
      </c>
      <c r="O137" s="118">
        <v>1123.3879999999999</v>
      </c>
      <c r="P137" s="161"/>
      <c r="Q137" s="161"/>
      <c r="R137" s="161"/>
    </row>
    <row r="138" spans="3:19" x14ac:dyDescent="0.35">
      <c r="C138" s="105" t="s">
        <v>216</v>
      </c>
      <c r="D138" s="118">
        <v>314.02100000000002</v>
      </c>
      <c r="E138" s="118">
        <v>268.279</v>
      </c>
      <c r="F138" s="118">
        <v>295.745</v>
      </c>
      <c r="G138" s="118">
        <v>266.89800000000002</v>
      </c>
      <c r="H138" s="118">
        <v>265.86799999999999</v>
      </c>
      <c r="I138" s="118">
        <v>245.167</v>
      </c>
      <c r="J138" s="118">
        <v>269.46600000000001</v>
      </c>
      <c r="K138" s="118">
        <v>265.83199999999999</v>
      </c>
      <c r="L138" s="118">
        <v>263.68599999999998</v>
      </c>
      <c r="M138" s="118">
        <v>261.69099999999997</v>
      </c>
      <c r="N138" s="118">
        <v>237.25299999999999</v>
      </c>
      <c r="O138" s="118">
        <v>270.83300000000003</v>
      </c>
      <c r="P138" s="161"/>
      <c r="Q138" s="161"/>
      <c r="R138" s="161"/>
    </row>
    <row r="139" spans="3:19" x14ac:dyDescent="0.35">
      <c r="C139" s="105" t="s">
        <v>217</v>
      </c>
      <c r="D139" s="118">
        <v>2.6549999999999998</v>
      </c>
      <c r="E139" s="118">
        <v>2.153</v>
      </c>
      <c r="F139" s="118">
        <v>2.5209999999999999</v>
      </c>
      <c r="G139" s="118">
        <v>2.302</v>
      </c>
      <c r="H139" s="118">
        <v>2.3849999999999998</v>
      </c>
      <c r="I139" s="118">
        <v>2.16</v>
      </c>
      <c r="J139" s="118">
        <v>2.3769999999999998</v>
      </c>
      <c r="K139" s="118">
        <v>2.3690000000000002</v>
      </c>
      <c r="L139" s="118">
        <v>2.4289999999999998</v>
      </c>
      <c r="M139" s="118">
        <v>2.4940000000000002</v>
      </c>
      <c r="N139" s="118">
        <v>2.238</v>
      </c>
      <c r="O139" s="118">
        <v>2.2440000000000002</v>
      </c>
      <c r="P139" s="161"/>
      <c r="Q139" s="161"/>
      <c r="R139" s="161"/>
    </row>
    <row r="140" spans="3:19" x14ac:dyDescent="0.35">
      <c r="C140" s="105" t="s">
        <v>218</v>
      </c>
      <c r="D140" s="118">
        <v>96.593999999999994</v>
      </c>
      <c r="E140" s="118">
        <v>88.971999999999994</v>
      </c>
      <c r="F140" s="118">
        <v>101.7</v>
      </c>
      <c r="G140" s="118">
        <v>87.512</v>
      </c>
      <c r="H140" s="118">
        <v>89.167000000000002</v>
      </c>
      <c r="I140" s="118">
        <v>79.543000000000006</v>
      </c>
      <c r="J140" s="118">
        <v>87.031000000000006</v>
      </c>
      <c r="K140" s="118">
        <v>133.798</v>
      </c>
      <c r="L140" s="118">
        <v>140.303</v>
      </c>
      <c r="M140" s="118">
        <v>141.67699999999999</v>
      </c>
      <c r="N140" s="118">
        <v>136.49</v>
      </c>
      <c r="O140" s="118">
        <v>179.673</v>
      </c>
      <c r="P140" s="161"/>
      <c r="Q140" s="161"/>
      <c r="R140" s="161"/>
    </row>
    <row r="141" spans="3:19" x14ac:dyDescent="0.35">
      <c r="C141" s="105" t="s">
        <v>219</v>
      </c>
      <c r="D141" s="118">
        <v>1.9590000000000001</v>
      </c>
      <c r="E141" s="118">
        <v>2.1970000000000001</v>
      </c>
      <c r="F141" s="118">
        <v>1.6719999999999999</v>
      </c>
      <c r="G141" s="118">
        <v>0.59699999999999998</v>
      </c>
      <c r="H141" s="118">
        <v>1.3140000000000001</v>
      </c>
      <c r="I141" s="118">
        <v>1.4330000000000001</v>
      </c>
      <c r="J141" s="118">
        <v>1.6</v>
      </c>
      <c r="K141" s="118">
        <v>1.4570000000000001</v>
      </c>
      <c r="L141" s="118">
        <v>1.7669999999999999</v>
      </c>
      <c r="M141" s="118">
        <v>1.3380000000000001</v>
      </c>
      <c r="N141" s="118">
        <v>1.552</v>
      </c>
      <c r="O141" s="118">
        <v>1.911</v>
      </c>
      <c r="P141" s="161"/>
      <c r="Q141" s="161"/>
      <c r="R141" s="161"/>
    </row>
    <row r="143" spans="3:19" ht="15" thickBot="1" x14ac:dyDescent="0.4">
      <c r="C143" s="1" t="s">
        <v>244</v>
      </c>
      <c r="D143" s="1"/>
      <c r="E143" s="1"/>
      <c r="F143" s="1"/>
      <c r="G143" s="1"/>
      <c r="H143" s="1"/>
      <c r="I143" s="1"/>
      <c r="J143" s="1"/>
      <c r="K143" s="1"/>
      <c r="L143" s="1"/>
      <c r="M143" s="1"/>
      <c r="N143" s="1"/>
      <c r="O143" s="1"/>
      <c r="P143" s="1"/>
      <c r="Q143" s="1"/>
      <c r="R143" s="1"/>
      <c r="S143" s="1"/>
    </row>
    <row r="145" spans="3:19" ht="13.5" x14ac:dyDescent="0.35">
      <c r="D145" s="5" t="s">
        <v>177</v>
      </c>
      <c r="E145" s="5"/>
      <c r="F145" s="5"/>
      <c r="G145" s="5"/>
      <c r="H145" s="5"/>
      <c r="I145" s="5"/>
      <c r="J145" s="5"/>
      <c r="K145" s="5"/>
      <c r="L145" s="5"/>
      <c r="M145" s="5"/>
      <c r="N145" s="5"/>
      <c r="O145" s="5"/>
      <c r="P145" s="5"/>
      <c r="Q145" s="5"/>
      <c r="R145" s="5"/>
      <c r="S145" s="5"/>
    </row>
    <row r="147" spans="3:19" x14ac:dyDescent="0.35">
      <c r="C147" s="9"/>
      <c r="D147" s="9">
        <v>2030</v>
      </c>
      <c r="E147" s="9">
        <v>2040</v>
      </c>
      <c r="F147" s="9">
        <v>2050</v>
      </c>
    </row>
    <row r="148" spans="3:19" x14ac:dyDescent="0.35">
      <c r="C148" t="s">
        <v>67</v>
      </c>
      <c r="D148" s="110">
        <f>P40</f>
        <v>73.131363595536357</v>
      </c>
      <c r="E148" s="110">
        <f t="shared" ref="E148:F148" si="24">Q40</f>
        <v>73.097150647673786</v>
      </c>
      <c r="F148" s="110">
        <f t="shared" si="24"/>
        <v>72.578296163217146</v>
      </c>
    </row>
    <row r="149" spans="3:19" x14ac:dyDescent="0.35">
      <c r="C149" t="s">
        <v>69</v>
      </c>
      <c r="D149" s="110">
        <f>P72</f>
        <v>52.666828221050636</v>
      </c>
      <c r="E149" s="110">
        <f t="shared" ref="E149:F149" si="25">Q72</f>
        <v>43.892578387659107</v>
      </c>
      <c r="F149" s="110">
        <f t="shared" si="25"/>
        <v>43.668841205201922</v>
      </c>
    </row>
    <row r="150" spans="3:19" x14ac:dyDescent="0.35">
      <c r="C150" t="s">
        <v>68</v>
      </c>
      <c r="D150" s="110">
        <f>P104</f>
        <v>104.53136385023386</v>
      </c>
      <c r="E150" s="110">
        <f t="shared" ref="E150:F150" si="26">Q104</f>
        <v>127.42122651106055</v>
      </c>
      <c r="F150" s="110">
        <f t="shared" si="26"/>
        <v>112.24466888873873</v>
      </c>
    </row>
    <row r="151" spans="3:19" x14ac:dyDescent="0.35">
      <c r="C151" t="s">
        <v>70</v>
      </c>
      <c r="D151" s="110">
        <f>P136</f>
        <v>26.907754124481311</v>
      </c>
      <c r="E151" s="110">
        <f t="shared" ref="E151:F151" si="27">Q136</f>
        <v>47.061726102850123</v>
      </c>
      <c r="F151" s="110">
        <f t="shared" si="27"/>
        <v>55.925463072576143</v>
      </c>
    </row>
    <row r="153" spans="3:19" ht="13.5" x14ac:dyDescent="0.35">
      <c r="D153" s="5" t="s">
        <v>178</v>
      </c>
      <c r="E153" s="5"/>
      <c r="F153" s="5"/>
      <c r="G153" s="5"/>
      <c r="H153" s="5"/>
      <c r="I153" s="5"/>
      <c r="J153" s="5"/>
      <c r="K153" s="5"/>
      <c r="L153" s="5"/>
      <c r="M153" s="5"/>
      <c r="N153" s="5"/>
      <c r="O153" s="5"/>
      <c r="P153" s="5"/>
      <c r="Q153" s="5"/>
      <c r="R153" s="5"/>
      <c r="S153" s="5"/>
    </row>
    <row r="155" spans="3:19" x14ac:dyDescent="0.35">
      <c r="C155" s="9"/>
      <c r="D155" s="9" t="s">
        <v>176</v>
      </c>
    </row>
    <row r="156" spans="3:19" x14ac:dyDescent="0.35">
      <c r="C156" t="s">
        <v>174</v>
      </c>
      <c r="D156" s="119">
        <v>1</v>
      </c>
    </row>
    <row r="157" spans="3:19" x14ac:dyDescent="0.35">
      <c r="C157" t="s">
        <v>175</v>
      </c>
      <c r="D157" s="119">
        <v>11630</v>
      </c>
    </row>
    <row r="159" spans="3:19" x14ac:dyDescent="0.35">
      <c r="C159" s="9"/>
      <c r="D159" s="9">
        <v>2030</v>
      </c>
      <c r="E159" s="9">
        <v>2040</v>
      </c>
      <c r="F159" s="9">
        <v>2050</v>
      </c>
    </row>
    <row r="160" spans="3:19" x14ac:dyDescent="0.35">
      <c r="C160" t="s">
        <v>67</v>
      </c>
      <c r="D160" s="120">
        <f>D148*$D$157</f>
        <v>850517.75861608784</v>
      </c>
      <c r="E160" s="120">
        <f t="shared" ref="E160:F160" si="28">E148*$D$157</f>
        <v>850119.86203244608</v>
      </c>
      <c r="F160" s="120">
        <f t="shared" si="28"/>
        <v>844085.58437821537</v>
      </c>
      <c r="H160" s="67"/>
    </row>
    <row r="161" spans="3:8" x14ac:dyDescent="0.35">
      <c r="C161" t="s">
        <v>69</v>
      </c>
      <c r="D161" s="120">
        <f t="shared" ref="D161:F163" si="29">D149*$D$157</f>
        <v>612515.21221081889</v>
      </c>
      <c r="E161" s="120">
        <f t="shared" si="29"/>
        <v>510470.68664847541</v>
      </c>
      <c r="F161" s="120">
        <f t="shared" si="29"/>
        <v>507868.62321649835</v>
      </c>
      <c r="H161" s="146"/>
    </row>
    <row r="162" spans="3:8" x14ac:dyDescent="0.35">
      <c r="C162" t="s">
        <v>68</v>
      </c>
      <c r="D162" s="120">
        <f t="shared" si="29"/>
        <v>1215699.7615782197</v>
      </c>
      <c r="E162" s="120">
        <f t="shared" si="29"/>
        <v>1481908.8643236342</v>
      </c>
      <c r="F162" s="120">
        <f t="shared" si="29"/>
        <v>1305405.4991760314</v>
      </c>
    </row>
    <row r="163" spans="3:8" x14ac:dyDescent="0.35">
      <c r="C163" t="s">
        <v>70</v>
      </c>
      <c r="D163" s="120">
        <f t="shared" si="29"/>
        <v>312937.18046771764</v>
      </c>
      <c r="E163" s="120">
        <f t="shared" si="29"/>
        <v>547327.87457614695</v>
      </c>
      <c r="F163" s="120">
        <f t="shared" si="29"/>
        <v>650413.13553406054</v>
      </c>
    </row>
  </sheetData>
  <mergeCells count="1">
    <mergeCell ref="D9:G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07C1-F8BD-4ED4-AF1E-9722479CDEF5}">
  <dimension ref="B4:R28"/>
  <sheetViews>
    <sheetView workbookViewId="0">
      <selection activeCell="E23" sqref="E23"/>
    </sheetView>
  </sheetViews>
  <sheetFormatPr defaultRowHeight="12" x14ac:dyDescent="0.35"/>
  <cols>
    <col min="2" max="2" width="16.75" customWidth="1"/>
    <col min="3" max="3" width="17.75" bestFit="1" customWidth="1"/>
    <col min="4" max="4" width="52.875" bestFit="1" customWidth="1"/>
    <col min="5" max="8" width="13.375" customWidth="1"/>
    <col min="9" max="9" width="12.625" customWidth="1"/>
    <col min="12" max="12" width="15.375" bestFit="1" customWidth="1"/>
  </cols>
  <sheetData>
    <row r="4" spans="2:18" x14ac:dyDescent="0.35">
      <c r="B4" s="59" t="s">
        <v>107</v>
      </c>
      <c r="C4" s="59" t="s">
        <v>268</v>
      </c>
      <c r="D4" s="59"/>
      <c r="E4" s="59">
        <v>2017</v>
      </c>
      <c r="F4" s="59">
        <v>2018</v>
      </c>
      <c r="G4" s="59">
        <v>2019</v>
      </c>
      <c r="H4" s="59">
        <v>2020</v>
      </c>
      <c r="I4" s="59" t="s">
        <v>129</v>
      </c>
    </row>
    <row r="5" spans="2:18" x14ac:dyDescent="0.35">
      <c r="B5" s="252" t="s">
        <v>67</v>
      </c>
      <c r="C5" s="252" t="s">
        <v>262</v>
      </c>
      <c r="D5" s="167" t="s">
        <v>263</v>
      </c>
      <c r="E5" s="168">
        <v>718</v>
      </c>
      <c r="F5" s="168">
        <v>731</v>
      </c>
      <c r="G5" s="168">
        <v>732</v>
      </c>
      <c r="H5" s="168">
        <v>407</v>
      </c>
      <c r="I5" s="168"/>
    </row>
    <row r="6" spans="2:18" x14ac:dyDescent="0.35">
      <c r="B6" s="253"/>
      <c r="C6" s="253"/>
      <c r="D6" s="163" t="s">
        <v>264</v>
      </c>
      <c r="E6" s="165">
        <v>48710</v>
      </c>
      <c r="F6" s="165">
        <v>48296</v>
      </c>
      <c r="G6" s="165">
        <v>48394</v>
      </c>
      <c r="H6" s="165">
        <v>44536</v>
      </c>
      <c r="I6" s="165"/>
    </row>
    <row r="7" spans="2:18" x14ac:dyDescent="0.35">
      <c r="B7" s="253"/>
      <c r="C7" s="253"/>
      <c r="D7" s="163" t="s">
        <v>266</v>
      </c>
      <c r="E7" s="169">
        <f>(E5*1000)/E6</f>
        <v>14.74029973311435</v>
      </c>
      <c r="F7" s="169">
        <f t="shared" ref="F7:H7" si="0">(F5*1000)/F6</f>
        <v>15.135829054165976</v>
      </c>
      <c r="G7" s="169">
        <f t="shared" si="0"/>
        <v>15.125842046534695</v>
      </c>
      <c r="H7" s="169">
        <f t="shared" si="0"/>
        <v>9.1386743308783913</v>
      </c>
      <c r="I7" s="170">
        <f>AVERAGE(E7:H7)</f>
        <v>13.535161291173353</v>
      </c>
      <c r="L7" t="s">
        <v>270</v>
      </c>
      <c r="M7" s="164" t="s">
        <v>269</v>
      </c>
    </row>
    <row r="8" spans="2:18" x14ac:dyDescent="0.35">
      <c r="B8" s="253"/>
      <c r="C8" s="253" t="s">
        <v>265</v>
      </c>
      <c r="D8" s="163" t="s">
        <v>263</v>
      </c>
      <c r="E8" s="165">
        <v>4501</v>
      </c>
      <c r="F8" s="165">
        <v>4485</v>
      </c>
      <c r="G8" s="165">
        <v>4041</v>
      </c>
      <c r="H8" s="165">
        <v>4068</v>
      </c>
      <c r="I8" s="165"/>
    </row>
    <row r="9" spans="2:18" x14ac:dyDescent="0.35">
      <c r="B9" s="253"/>
      <c r="C9" s="253"/>
      <c r="D9" s="163" t="s">
        <v>264</v>
      </c>
      <c r="E9" s="165">
        <v>7065</v>
      </c>
      <c r="F9" s="165">
        <v>8188</v>
      </c>
      <c r="G9" s="165">
        <v>8454</v>
      </c>
      <c r="H9" s="165">
        <v>12957</v>
      </c>
      <c r="I9" s="165"/>
    </row>
    <row r="10" spans="2:18" x14ac:dyDescent="0.35">
      <c r="B10" s="254"/>
      <c r="C10" s="254"/>
      <c r="D10" s="171" t="s">
        <v>267</v>
      </c>
      <c r="E10" s="172">
        <f>(E8*1000)/E9</f>
        <v>637.08421797593769</v>
      </c>
      <c r="F10" s="172">
        <f t="shared" ref="F10:H10" si="1">(F8*1000)/F9</f>
        <v>547.75280898876406</v>
      </c>
      <c r="G10" s="172">
        <f t="shared" si="1"/>
        <v>477.99858055358408</v>
      </c>
      <c r="H10" s="172">
        <f t="shared" si="1"/>
        <v>313.96156517712433</v>
      </c>
      <c r="I10" s="173">
        <f>AVERAGE(E10:H10)</f>
        <v>494.19929317385254</v>
      </c>
    </row>
    <row r="11" spans="2:18" x14ac:dyDescent="0.35">
      <c r="B11" s="255" t="s">
        <v>68</v>
      </c>
      <c r="C11" s="255" t="s">
        <v>262</v>
      </c>
      <c r="D11" s="174" t="s">
        <v>263</v>
      </c>
      <c r="E11" s="175">
        <v>1436</v>
      </c>
      <c r="F11" s="175">
        <f>15098*0.11</f>
        <v>1660.78</v>
      </c>
      <c r="G11" s="175">
        <v>1422</v>
      </c>
      <c r="H11" s="175">
        <v>1395</v>
      </c>
      <c r="I11" s="175"/>
    </row>
    <row r="12" spans="2:18" x14ac:dyDescent="0.35">
      <c r="B12" s="253"/>
      <c r="C12" s="253"/>
      <c r="D12" s="163" t="s">
        <v>264</v>
      </c>
      <c r="E12" s="165">
        <f t="shared" ref="E12:G12" si="2">O19</f>
        <v>355707.44957418198</v>
      </c>
      <c r="F12" s="165">
        <f t="shared" si="2"/>
        <v>345890.47291268321</v>
      </c>
      <c r="G12" s="165">
        <f t="shared" si="2"/>
        <v>338231.90423585702</v>
      </c>
      <c r="H12" s="165">
        <f>R19</f>
        <v>304505.3042283408</v>
      </c>
      <c r="I12" s="165"/>
    </row>
    <row r="13" spans="2:18" x14ac:dyDescent="0.35">
      <c r="B13" s="253"/>
      <c r="C13" s="253"/>
      <c r="D13" s="163" t="s">
        <v>266</v>
      </c>
      <c r="E13" s="169">
        <f t="shared" ref="E13:G13" si="3">(E11*1000)/E12</f>
        <v>4.0370253749788994</v>
      </c>
      <c r="F13" s="169">
        <f t="shared" si="3"/>
        <v>4.8014621102884449</v>
      </c>
      <c r="G13" s="169">
        <f t="shared" si="3"/>
        <v>4.2042160487864741</v>
      </c>
      <c r="H13" s="169">
        <f>(H11*1000)/H12</f>
        <v>4.5812009860883238</v>
      </c>
      <c r="I13" s="170">
        <f>AVERAGE(E13:H13)</f>
        <v>4.4059761300355351</v>
      </c>
      <c r="O13" s="59">
        <v>2017</v>
      </c>
      <c r="P13" s="59">
        <v>2018</v>
      </c>
      <c r="Q13" s="59">
        <v>2019</v>
      </c>
      <c r="R13" s="59">
        <v>2020</v>
      </c>
    </row>
    <row r="14" spans="2:18" x14ac:dyDescent="0.35">
      <c r="B14" s="253"/>
      <c r="C14" s="253" t="s">
        <v>265</v>
      </c>
      <c r="D14" s="163" t="s">
        <v>263</v>
      </c>
      <c r="E14" s="165">
        <v>11548</v>
      </c>
      <c r="F14" s="165">
        <f>15098*0.89</f>
        <v>13437.22</v>
      </c>
      <c r="G14" s="165">
        <v>12730</v>
      </c>
      <c r="H14" s="165">
        <v>10053</v>
      </c>
      <c r="I14" s="165"/>
      <c r="O14" s="165">
        <f>E6+E9</f>
        <v>55775</v>
      </c>
      <c r="P14" s="165">
        <f t="shared" ref="P14:Q14" si="4">F6+F9</f>
        <v>56484</v>
      </c>
      <c r="Q14" s="165">
        <f t="shared" si="4"/>
        <v>56848</v>
      </c>
      <c r="R14" s="165">
        <f>H6+H9</f>
        <v>57493</v>
      </c>
    </row>
    <row r="15" spans="2:18" x14ac:dyDescent="0.35">
      <c r="B15" s="253"/>
      <c r="C15" s="253"/>
      <c r="D15" s="163" t="s">
        <v>264</v>
      </c>
      <c r="E15" s="165">
        <f>O20</f>
        <v>51592.550425818023</v>
      </c>
      <c r="F15" s="165">
        <f t="shared" ref="F15:G15" si="5">P20</f>
        <v>58641.527087316761</v>
      </c>
      <c r="G15" s="165">
        <f t="shared" si="5"/>
        <v>59086.095764142978</v>
      </c>
      <c r="H15" s="165">
        <f>R20</f>
        <v>88590.695771659157</v>
      </c>
      <c r="I15" s="165"/>
      <c r="O15" s="108">
        <f t="shared" ref="O15" si="6">E6/O14</f>
        <v>0.87333034513671004</v>
      </c>
      <c r="P15" s="108">
        <f>F6/P14</f>
        <v>0.85503859500035406</v>
      </c>
      <c r="Q15" s="108">
        <f>G6/Q14</f>
        <v>0.85128764424430059</v>
      </c>
      <c r="R15" s="108">
        <f>H6/R14</f>
        <v>0.77463343363539905</v>
      </c>
    </row>
    <row r="16" spans="2:18" x14ac:dyDescent="0.35">
      <c r="B16" s="254"/>
      <c r="C16" s="254"/>
      <c r="D16" s="171" t="s">
        <v>267</v>
      </c>
      <c r="E16" s="172">
        <f t="shared" ref="E16:G16" si="7">(E14*1000)/E15</f>
        <v>223.83076441635131</v>
      </c>
      <c r="F16" s="172">
        <f t="shared" si="7"/>
        <v>229.14171351629517</v>
      </c>
      <c r="G16" s="172">
        <f t="shared" si="7"/>
        <v>215.4483188534744</v>
      </c>
      <c r="H16" s="172">
        <f>(H14*1000)/H15</f>
        <v>113.47692793734703</v>
      </c>
      <c r="I16" s="173">
        <f>AVERAGE(E16:H16)</f>
        <v>195.47443118086699</v>
      </c>
      <c r="O16" s="108">
        <f t="shared" ref="O16:Q16" si="8">E9/O14</f>
        <v>0.12666965486329002</v>
      </c>
      <c r="P16" s="108">
        <f t="shared" si="8"/>
        <v>0.14496140499964591</v>
      </c>
      <c r="Q16" s="108">
        <f t="shared" si="8"/>
        <v>0.14871235575569941</v>
      </c>
      <c r="R16" s="108">
        <f>H9/R14</f>
        <v>0.2253665663646009</v>
      </c>
    </row>
    <row r="17" spans="2:18" x14ac:dyDescent="0.35">
      <c r="B17" s="255" t="s">
        <v>69</v>
      </c>
      <c r="C17" s="255" t="s">
        <v>262</v>
      </c>
      <c r="D17" s="174" t="s">
        <v>263</v>
      </c>
      <c r="E17" s="175">
        <v>1986</v>
      </c>
      <c r="F17" s="175">
        <v>2127</v>
      </c>
      <c r="G17" s="175">
        <v>2079</v>
      </c>
      <c r="H17" s="175">
        <v>2254</v>
      </c>
      <c r="I17" s="175"/>
    </row>
    <row r="18" spans="2:18" x14ac:dyDescent="0.35">
      <c r="B18" s="253"/>
      <c r="C18" s="253"/>
      <c r="D18" s="163" t="s">
        <v>264</v>
      </c>
      <c r="E18" s="165">
        <v>575314</v>
      </c>
      <c r="F18" s="165">
        <v>587570</v>
      </c>
      <c r="G18" s="165">
        <v>595253</v>
      </c>
      <c r="H18" s="165">
        <v>602978</v>
      </c>
      <c r="I18" s="165"/>
      <c r="O18">
        <v>407300</v>
      </c>
      <c r="P18">
        <v>404532</v>
      </c>
      <c r="Q18">
        <v>397318</v>
      </c>
      <c r="R18">
        <v>393096</v>
      </c>
    </row>
    <row r="19" spans="2:18" x14ac:dyDescent="0.35">
      <c r="B19" s="253"/>
      <c r="C19" s="253"/>
      <c r="D19" s="163" t="s">
        <v>266</v>
      </c>
      <c r="E19" s="169">
        <f t="shared" ref="E19" si="9">(E17*1000)/E18</f>
        <v>3.452027936048836</v>
      </c>
      <c r="F19" s="169">
        <f t="shared" ref="F19" si="10">(F17*1000)/F18</f>
        <v>3.6199942134554179</v>
      </c>
      <c r="G19" s="169">
        <f t="shared" ref="G19" si="11">(G17*1000)/G18</f>
        <v>3.4926325444810864</v>
      </c>
      <c r="H19" s="169">
        <f>(H17*1000)/H18</f>
        <v>3.7381131649910944</v>
      </c>
      <c r="I19" s="170">
        <f>AVERAGE(E19:H19)</f>
        <v>3.5756919647441086</v>
      </c>
      <c r="O19">
        <f t="shared" ref="O19:Q19" si="12">O18*O15</f>
        <v>355707.44957418198</v>
      </c>
      <c r="P19">
        <f t="shared" si="12"/>
        <v>345890.47291268321</v>
      </c>
      <c r="Q19">
        <f t="shared" si="12"/>
        <v>338231.90423585702</v>
      </c>
      <c r="R19">
        <f>R18*R15</f>
        <v>304505.3042283408</v>
      </c>
    </row>
    <row r="20" spans="2:18" x14ac:dyDescent="0.35">
      <c r="B20" s="253"/>
      <c r="C20" s="253" t="s">
        <v>265</v>
      </c>
      <c r="D20" s="163" t="s">
        <v>263</v>
      </c>
      <c r="E20" s="165">
        <v>5847</v>
      </c>
      <c r="F20" s="165">
        <v>4290</v>
      </c>
      <c r="G20" s="165">
        <v>4299</v>
      </c>
      <c r="H20" s="165">
        <v>4958</v>
      </c>
      <c r="I20" s="165"/>
      <c r="O20" s="165">
        <f t="shared" ref="O20:Q20" si="13">O18*O16</f>
        <v>51592.550425818023</v>
      </c>
      <c r="P20" s="165">
        <f t="shared" si="13"/>
        <v>58641.527087316761</v>
      </c>
      <c r="Q20" s="165">
        <f t="shared" si="13"/>
        <v>59086.095764142978</v>
      </c>
      <c r="R20" s="165">
        <f>R18*R16</f>
        <v>88590.695771659157</v>
      </c>
    </row>
    <row r="21" spans="2:18" x14ac:dyDescent="0.35">
      <c r="B21" s="253"/>
      <c r="C21" s="253"/>
      <c r="D21" s="163" t="s">
        <v>264</v>
      </c>
      <c r="E21" s="165">
        <v>7168</v>
      </c>
      <c r="F21" s="165">
        <v>7380</v>
      </c>
      <c r="G21" s="165">
        <v>7732</v>
      </c>
      <c r="H21" s="165">
        <v>7458</v>
      </c>
      <c r="I21" s="165"/>
    </row>
    <row r="22" spans="2:18" x14ac:dyDescent="0.35">
      <c r="B22" s="254"/>
      <c r="C22" s="254"/>
      <c r="D22" s="171" t="s">
        <v>267</v>
      </c>
      <c r="E22" s="172">
        <f>(E20*1000)/E21</f>
        <v>815.70870535714289</v>
      </c>
      <c r="F22" s="172">
        <f t="shared" ref="F22" si="14">(F20*1000)/F21</f>
        <v>581.30081300813004</v>
      </c>
      <c r="G22" s="172">
        <f t="shared" ref="G22" si="15">(G20*1000)/G21</f>
        <v>556.00103466114842</v>
      </c>
      <c r="H22" s="172">
        <f>(H20*1000)/H21</f>
        <v>664.7894877983374</v>
      </c>
      <c r="I22" s="173">
        <f>AVERAGE(E22:H22)</f>
        <v>654.45001020618975</v>
      </c>
    </row>
    <row r="23" spans="2:18" x14ac:dyDescent="0.35">
      <c r="B23" s="253" t="s">
        <v>70</v>
      </c>
      <c r="C23" s="253" t="s">
        <v>262</v>
      </c>
      <c r="D23" s="163" t="s">
        <v>263</v>
      </c>
      <c r="E23" s="165"/>
      <c r="F23" s="165"/>
      <c r="G23" s="165"/>
      <c r="H23" s="165"/>
      <c r="I23" s="165"/>
    </row>
    <row r="24" spans="2:18" x14ac:dyDescent="0.35">
      <c r="B24" s="253"/>
      <c r="C24" s="253"/>
      <c r="D24" s="163" t="s">
        <v>264</v>
      </c>
      <c r="E24" s="165"/>
      <c r="F24" s="165"/>
      <c r="G24" s="165"/>
      <c r="H24" s="165"/>
      <c r="I24" s="165"/>
    </row>
    <row r="25" spans="2:18" x14ac:dyDescent="0.35">
      <c r="B25" s="253"/>
      <c r="C25" s="253"/>
      <c r="D25" s="163" t="s">
        <v>266</v>
      </c>
      <c r="E25" s="165"/>
      <c r="F25" s="165"/>
      <c r="G25" s="165"/>
      <c r="H25" s="165"/>
      <c r="I25" s="165"/>
      <c r="L25" s="165"/>
    </row>
    <row r="26" spans="2:18" x14ac:dyDescent="0.35">
      <c r="B26" s="253"/>
      <c r="C26" s="253" t="s">
        <v>265</v>
      </c>
      <c r="D26" s="163" t="s">
        <v>263</v>
      </c>
      <c r="E26" s="165"/>
      <c r="F26" s="165"/>
      <c r="G26" s="165"/>
      <c r="H26" s="165"/>
      <c r="I26" s="165"/>
    </row>
    <row r="27" spans="2:18" x14ac:dyDescent="0.35">
      <c r="B27" s="253"/>
      <c r="C27" s="253"/>
      <c r="D27" s="163" t="s">
        <v>264</v>
      </c>
      <c r="E27" s="165"/>
      <c r="F27" s="165"/>
      <c r="G27" s="165"/>
      <c r="H27" s="165"/>
      <c r="I27" s="165"/>
    </row>
    <row r="28" spans="2:18" x14ac:dyDescent="0.35">
      <c r="B28" s="253"/>
      <c r="C28" s="253"/>
      <c r="D28" s="163" t="s">
        <v>267</v>
      </c>
      <c r="E28" s="165"/>
      <c r="F28" s="165"/>
      <c r="G28" s="165"/>
      <c r="H28" s="165"/>
      <c r="I28" s="165"/>
    </row>
  </sheetData>
  <mergeCells count="12">
    <mergeCell ref="C5:C7"/>
    <mergeCell ref="C8:C10"/>
    <mergeCell ref="B5:B10"/>
    <mergeCell ref="B23:B28"/>
    <mergeCell ref="C23:C25"/>
    <mergeCell ref="C26:C28"/>
    <mergeCell ref="C11:C13"/>
    <mergeCell ref="C14:C16"/>
    <mergeCell ref="B11:B16"/>
    <mergeCell ref="B17:B22"/>
    <mergeCell ref="C17:C19"/>
    <mergeCell ref="C20:C22"/>
  </mergeCells>
  <hyperlinks>
    <hyperlink ref="M7" r:id="rId1" display="https://www.ceer.eu/documents/104400/7169677/C21_NR_Estonia_EN.pdf/ce75d32e-6830-8562-48bc-5bf2a1390e21" xr:uid="{E984D2AA-C252-4B90-9C42-DD4C4ABD4E24}"/>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C6F2-8580-46A0-98EF-BB770642AB53}">
  <sheetPr>
    <tabColor theme="6" tint="0.79998168889431442"/>
  </sheetPr>
  <dimension ref="B2:S230"/>
  <sheetViews>
    <sheetView showGridLines="0" workbookViewId="0">
      <selection activeCell="D228" sqref="D228"/>
    </sheetView>
  </sheetViews>
  <sheetFormatPr defaultRowHeight="12" x14ac:dyDescent="0.35"/>
  <cols>
    <col min="3" max="3" width="42.625" customWidth="1"/>
    <col min="4" max="4" width="11.375" customWidth="1"/>
    <col min="5" max="16" width="12.625" customWidth="1"/>
  </cols>
  <sheetData>
    <row r="2" spans="2:19" ht="16" thickBot="1" x14ac:dyDescent="0.4">
      <c r="B2" s="2" t="s">
        <v>172</v>
      </c>
      <c r="C2" s="2"/>
      <c r="D2" s="2"/>
      <c r="E2" s="2"/>
      <c r="F2" s="2"/>
      <c r="G2" s="2"/>
      <c r="H2" s="2"/>
      <c r="I2" s="2"/>
      <c r="J2" s="2"/>
      <c r="K2" s="2"/>
      <c r="L2" s="2"/>
      <c r="M2" s="2"/>
      <c r="N2" s="2"/>
      <c r="O2" s="2"/>
      <c r="P2" s="2"/>
      <c r="Q2" s="2"/>
      <c r="R2" s="2"/>
      <c r="S2" s="2"/>
    </row>
    <row r="3" spans="2:19" ht="12.5" thickTop="1" x14ac:dyDescent="0.35"/>
    <row r="4" spans="2:19" x14ac:dyDescent="0.35">
      <c r="B4" s="72" t="s">
        <v>147</v>
      </c>
    </row>
    <row r="6" spans="2:19" ht="15" thickBot="1" x14ac:dyDescent="0.4">
      <c r="C6" s="1" t="s">
        <v>67</v>
      </c>
      <c r="D6" s="1"/>
      <c r="E6" s="1"/>
      <c r="F6" s="1"/>
      <c r="G6" s="1"/>
      <c r="H6" s="1"/>
      <c r="I6" s="1"/>
      <c r="J6" s="1"/>
      <c r="K6" s="1"/>
      <c r="L6" s="1"/>
      <c r="M6" s="1"/>
      <c r="N6" s="1"/>
      <c r="O6" s="1"/>
      <c r="P6" s="1"/>
      <c r="Q6" s="1"/>
      <c r="R6" s="1"/>
      <c r="S6" s="1"/>
    </row>
    <row r="8" spans="2:19" x14ac:dyDescent="0.35">
      <c r="C8" s="9"/>
      <c r="D8" s="9">
        <v>2005</v>
      </c>
      <c r="E8" s="9">
        <v>2010</v>
      </c>
      <c r="F8" s="9">
        <v>2015</v>
      </c>
      <c r="G8" s="9">
        <v>2020</v>
      </c>
      <c r="H8" s="9">
        <v>2025</v>
      </c>
      <c r="I8" s="9">
        <v>2030</v>
      </c>
      <c r="J8" s="9">
        <v>2035</v>
      </c>
      <c r="K8" s="9">
        <v>2040</v>
      </c>
      <c r="L8" s="9">
        <v>2045</v>
      </c>
      <c r="M8" s="9">
        <v>2050</v>
      </c>
      <c r="N8" s="9" t="s">
        <v>148</v>
      </c>
      <c r="O8" s="9" t="s">
        <v>149</v>
      </c>
      <c r="P8" s="9" t="s">
        <v>150</v>
      </c>
    </row>
    <row r="9" spans="2:19" x14ac:dyDescent="0.35">
      <c r="C9" s="68" t="s">
        <v>151</v>
      </c>
      <c r="D9" s="118">
        <v>2828.5460284377432</v>
      </c>
      <c r="E9" s="118">
        <v>2868.9992225593955</v>
      </c>
      <c r="F9" s="118">
        <v>2779.8065506562571</v>
      </c>
      <c r="G9" s="118">
        <v>2709.3751323272941</v>
      </c>
      <c r="H9" s="118">
        <v>2832.0837318185299</v>
      </c>
      <c r="I9" s="118">
        <v>2837.1995128846556</v>
      </c>
      <c r="J9" s="118">
        <v>2774.0010091522158</v>
      </c>
      <c r="K9" s="118">
        <v>2732.3496359156165</v>
      </c>
      <c r="L9" s="118">
        <v>2685.7220451393791</v>
      </c>
      <c r="M9" s="118">
        <v>2635.6571699436995</v>
      </c>
      <c r="N9" s="118">
        <v>-0.5708169754800374</v>
      </c>
      <c r="O9" s="118">
        <v>0.46205870258313464</v>
      </c>
      <c r="P9" s="118">
        <v>-0.36774678614955869</v>
      </c>
    </row>
    <row r="10" spans="2:19" x14ac:dyDescent="0.35">
      <c r="C10" s="105" t="s">
        <v>152</v>
      </c>
      <c r="D10" s="107"/>
      <c r="E10" s="107"/>
      <c r="F10" s="107"/>
      <c r="G10" s="107"/>
      <c r="H10" s="107"/>
      <c r="I10" s="107"/>
      <c r="J10" s="107"/>
      <c r="K10" s="107"/>
      <c r="L10" s="107"/>
      <c r="M10" s="107"/>
      <c r="N10" s="107"/>
      <c r="O10" s="107"/>
      <c r="P10" s="107"/>
    </row>
    <row r="11" spans="2:19" x14ac:dyDescent="0.35">
      <c r="C11" s="106" t="s">
        <v>153</v>
      </c>
      <c r="D11" s="107">
        <v>719.44899999997449</v>
      </c>
      <c r="E11" s="107">
        <v>574.59500000000014</v>
      </c>
      <c r="F11" s="107">
        <v>523.57497590448122</v>
      </c>
      <c r="G11" s="107">
        <v>455.55143708927267</v>
      </c>
      <c r="H11" s="107">
        <v>559.0354742052964</v>
      </c>
      <c r="I11" s="107">
        <v>625.68171617289329</v>
      </c>
      <c r="J11" s="107">
        <v>603.72126780259282</v>
      </c>
      <c r="K11" s="107">
        <v>586.60264650511522</v>
      </c>
      <c r="L11" s="107">
        <v>579.84206704446217</v>
      </c>
      <c r="M11" s="107">
        <v>573.39968108564653</v>
      </c>
      <c r="N11" s="107">
        <v>-2.2948270449999475</v>
      </c>
      <c r="O11" s="107">
        <v>3.2242186780857329</v>
      </c>
      <c r="P11" s="107">
        <v>-0.43534363986542646</v>
      </c>
    </row>
    <row r="12" spans="2:19" x14ac:dyDescent="0.35">
      <c r="C12" s="117" t="s">
        <v>154</v>
      </c>
      <c r="D12" s="116">
        <v>272.86099999997447</v>
      </c>
      <c r="E12" s="116">
        <v>231.04800000000003</v>
      </c>
      <c r="F12" s="116">
        <v>176.89697590449936</v>
      </c>
      <c r="G12" s="116">
        <v>173.40111959480612</v>
      </c>
      <c r="H12" s="116">
        <v>215.1927233082998</v>
      </c>
      <c r="I12" s="116">
        <v>220.54572130214092</v>
      </c>
      <c r="J12" s="116">
        <v>197.14457339008027</v>
      </c>
      <c r="K12" s="116">
        <v>189.22500921933198</v>
      </c>
      <c r="L12" s="116">
        <v>182.40792683728378</v>
      </c>
      <c r="M12" s="116">
        <v>180.43320912162056</v>
      </c>
      <c r="N12" s="116">
        <v>-2.8293812071610969</v>
      </c>
      <c r="O12" s="116">
        <v>2.4341278133530153</v>
      </c>
      <c r="P12" s="116">
        <v>-0.9987012720575672</v>
      </c>
    </row>
    <row r="13" spans="2:19" x14ac:dyDescent="0.35">
      <c r="C13" s="117" t="s">
        <v>155</v>
      </c>
      <c r="D13" s="116">
        <v>446.58800000000002</v>
      </c>
      <c r="E13" s="116">
        <v>343.54700000000014</v>
      </c>
      <c r="F13" s="116">
        <v>346.67799999998186</v>
      </c>
      <c r="G13" s="116">
        <v>282.15031749446655</v>
      </c>
      <c r="H13" s="116">
        <v>343.84275089699656</v>
      </c>
      <c r="I13" s="116">
        <v>405.13599487075237</v>
      </c>
      <c r="J13" s="116">
        <v>406.57669441251255</v>
      </c>
      <c r="K13" s="116">
        <v>397.37763728578324</v>
      </c>
      <c r="L13" s="116">
        <v>397.43414020717842</v>
      </c>
      <c r="M13" s="116">
        <v>392.96647196402597</v>
      </c>
      <c r="N13" s="116">
        <v>-1.9495845215139473</v>
      </c>
      <c r="O13" s="116">
        <v>3.6840681170648315</v>
      </c>
      <c r="P13" s="116">
        <v>-0.15237631614872793</v>
      </c>
    </row>
    <row r="14" spans="2:19" x14ac:dyDescent="0.35">
      <c r="C14" s="106" t="s">
        <v>156</v>
      </c>
      <c r="D14" s="107">
        <v>889.39599999999996</v>
      </c>
      <c r="E14" s="107">
        <v>1026.848</v>
      </c>
      <c r="F14" s="107">
        <v>857.32047777142827</v>
      </c>
      <c r="G14" s="107">
        <v>977.76389877688086</v>
      </c>
      <c r="H14" s="107">
        <v>802.39726499591484</v>
      </c>
      <c r="I14" s="107">
        <v>725.07783333385169</v>
      </c>
      <c r="J14" s="107">
        <v>693.89447399773894</v>
      </c>
      <c r="K14" s="107">
        <v>670.77382871586474</v>
      </c>
      <c r="L14" s="107">
        <v>653.27361059391671</v>
      </c>
      <c r="M14" s="107">
        <v>641.64699764620048</v>
      </c>
      <c r="N14" s="107">
        <v>-0.48861205343243563</v>
      </c>
      <c r="O14" s="107">
        <v>-2.9456371109072177</v>
      </c>
      <c r="P14" s="107">
        <v>-0.60933945527585909</v>
      </c>
    </row>
    <row r="15" spans="2:19" x14ac:dyDescent="0.35">
      <c r="C15" s="106" t="s">
        <v>157</v>
      </c>
      <c r="D15" s="107">
        <v>494.67699999999996</v>
      </c>
      <c r="E15" s="107">
        <v>519.36</v>
      </c>
      <c r="F15" s="107">
        <v>643.26507765713461</v>
      </c>
      <c r="G15" s="107">
        <v>537.0089233007908</v>
      </c>
      <c r="H15" s="107">
        <v>670.11559428382714</v>
      </c>
      <c r="I15" s="107">
        <v>673.76021988333127</v>
      </c>
      <c r="J15" s="107">
        <v>681.117408565304</v>
      </c>
      <c r="K15" s="107">
        <v>684.99046513035353</v>
      </c>
      <c r="L15" s="107">
        <v>681.20800571709754</v>
      </c>
      <c r="M15" s="107">
        <v>681.734822969319</v>
      </c>
      <c r="N15" s="107">
        <v>0.33473325462143322</v>
      </c>
      <c r="O15" s="107">
        <v>2.2945241273335748</v>
      </c>
      <c r="P15" s="107">
        <v>5.8849653820725045E-2</v>
      </c>
    </row>
    <row r="16" spans="2:19" x14ac:dyDescent="0.35">
      <c r="C16" s="106" t="s">
        <v>158</v>
      </c>
      <c r="D16" s="107">
        <v>725.02402843776861</v>
      </c>
      <c r="E16" s="107">
        <v>748.19622255939498</v>
      </c>
      <c r="F16" s="107">
        <v>755.64601932321318</v>
      </c>
      <c r="G16" s="107">
        <v>739.05087316034928</v>
      </c>
      <c r="H16" s="107">
        <v>800.53539833349248</v>
      </c>
      <c r="I16" s="107">
        <v>812.67974349457882</v>
      </c>
      <c r="J16" s="107">
        <v>795.26785878658018</v>
      </c>
      <c r="K16" s="107">
        <v>789.9826955642834</v>
      </c>
      <c r="L16" s="107">
        <v>771.39836178390215</v>
      </c>
      <c r="M16" s="107">
        <v>738.87566824253372</v>
      </c>
      <c r="N16" s="107">
        <v>-0.12290954503335616</v>
      </c>
      <c r="O16" s="107">
        <v>0.95422752797749144</v>
      </c>
      <c r="P16" s="107">
        <v>-0.47490598324921862</v>
      </c>
    </row>
    <row r="17" spans="3:16" x14ac:dyDescent="0.35">
      <c r="C17" s="105" t="s">
        <v>159</v>
      </c>
      <c r="D17" s="107"/>
      <c r="E17" s="107"/>
      <c r="F17" s="107"/>
      <c r="G17" s="107"/>
      <c r="H17" s="107"/>
      <c r="I17" s="107"/>
      <c r="J17" s="107"/>
      <c r="K17" s="107"/>
      <c r="L17" s="107"/>
      <c r="M17" s="107"/>
      <c r="N17" s="107"/>
      <c r="O17" s="107"/>
      <c r="P17" s="107"/>
    </row>
    <row r="18" spans="3:16" x14ac:dyDescent="0.35">
      <c r="C18" s="106" t="s">
        <v>160</v>
      </c>
      <c r="D18" s="107">
        <v>117.46400000000001</v>
      </c>
      <c r="E18" s="107">
        <v>82.433000000000007</v>
      </c>
      <c r="F18" s="107">
        <v>32.215999999999994</v>
      </c>
      <c r="G18" s="107">
        <v>35.109467596757682</v>
      </c>
      <c r="H18" s="107">
        <v>40.341628487342192</v>
      </c>
      <c r="I18" s="107">
        <v>38.818401029170531</v>
      </c>
      <c r="J18" s="107">
        <v>30.462032832522354</v>
      </c>
      <c r="K18" s="107">
        <v>21.062587363888017</v>
      </c>
      <c r="L18" s="107">
        <v>14.989475980492116</v>
      </c>
      <c r="M18" s="107">
        <v>6.5954458122831259</v>
      </c>
      <c r="N18" s="107">
        <v>-8.1810517398057332</v>
      </c>
      <c r="O18" s="107">
        <v>1.009294980981279</v>
      </c>
      <c r="P18" s="107">
        <v>-8.4811981628105322</v>
      </c>
    </row>
    <row r="19" spans="3:16" x14ac:dyDescent="0.35">
      <c r="C19" s="106" t="s">
        <v>161</v>
      </c>
      <c r="D19" s="107">
        <v>933.77502844951334</v>
      </c>
      <c r="E19" s="107">
        <v>903.45660660974318</v>
      </c>
      <c r="F19" s="107">
        <v>960.01873413738724</v>
      </c>
      <c r="G19" s="107">
        <v>869.81219664627213</v>
      </c>
      <c r="H19" s="107">
        <v>889.40403388485504</v>
      </c>
      <c r="I19" s="107">
        <v>837.7563542463887</v>
      </c>
      <c r="J19" s="107">
        <v>760.7139933286403</v>
      </c>
      <c r="K19" s="107">
        <v>716.55182947772335</v>
      </c>
      <c r="L19" s="107">
        <v>668.67302151431215</v>
      </c>
      <c r="M19" s="107">
        <v>614.96060184046905</v>
      </c>
      <c r="N19" s="107">
        <v>-0.37878836363304247</v>
      </c>
      <c r="O19" s="107">
        <v>-0.37479598931914326</v>
      </c>
      <c r="P19" s="107">
        <v>-1.5339586764058222</v>
      </c>
    </row>
    <row r="20" spans="3:16" x14ac:dyDescent="0.35">
      <c r="C20" s="106" t="s">
        <v>162</v>
      </c>
      <c r="D20" s="107">
        <v>263.26299999999998</v>
      </c>
      <c r="E20" s="107">
        <v>207.02970486015221</v>
      </c>
      <c r="F20" s="107">
        <v>222.41917161635843</v>
      </c>
      <c r="G20" s="107">
        <v>226.30306027154003</v>
      </c>
      <c r="H20" s="107">
        <v>223.47222691187773</v>
      </c>
      <c r="I20" s="107">
        <v>207.97279846564425</v>
      </c>
      <c r="J20" s="107">
        <v>201.72584044380508</v>
      </c>
      <c r="K20" s="107">
        <v>207.87550282994283</v>
      </c>
      <c r="L20" s="107">
        <v>208.79388703430666</v>
      </c>
      <c r="M20" s="107">
        <v>206.39997148711575</v>
      </c>
      <c r="N20" s="107">
        <v>0.89410132834453204</v>
      </c>
      <c r="O20" s="107">
        <v>-0.84112043095636579</v>
      </c>
      <c r="P20" s="107">
        <v>-3.7949792635116886E-2</v>
      </c>
    </row>
    <row r="21" spans="3:16" x14ac:dyDescent="0.35">
      <c r="C21" s="106" t="s">
        <v>163</v>
      </c>
      <c r="D21" s="107">
        <v>519.34699998825499</v>
      </c>
      <c r="E21" s="107">
        <v>593.98309375878091</v>
      </c>
      <c r="F21" s="107">
        <v>589.16634431420823</v>
      </c>
      <c r="G21" s="107">
        <v>551.24587667737967</v>
      </c>
      <c r="H21" s="107">
        <v>702.68819396575429</v>
      </c>
      <c r="I21" s="107">
        <v>773.09087981282062</v>
      </c>
      <c r="J21" s="107">
        <v>825.19770335297346</v>
      </c>
      <c r="K21" s="107">
        <v>865.60140301289493</v>
      </c>
      <c r="L21" s="107">
        <v>902.38081006536163</v>
      </c>
      <c r="M21" s="107">
        <v>937.76035591682603</v>
      </c>
      <c r="N21" s="107">
        <v>-0.74391823301337423</v>
      </c>
      <c r="O21" s="107">
        <v>3.4400018393089482</v>
      </c>
      <c r="P21" s="107">
        <v>0.97016499699238423</v>
      </c>
    </row>
    <row r="22" spans="3:16" x14ac:dyDescent="0.35">
      <c r="C22" s="106" t="s">
        <v>164</v>
      </c>
      <c r="D22" s="107">
        <v>547.41099999997448</v>
      </c>
      <c r="E22" s="107">
        <v>531.52800000000002</v>
      </c>
      <c r="F22" s="107">
        <v>430.61499999998171</v>
      </c>
      <c r="G22" s="107">
        <v>453.63897612325707</v>
      </c>
      <c r="H22" s="107">
        <v>397.08985179158282</v>
      </c>
      <c r="I22" s="107">
        <v>373.67795111337739</v>
      </c>
      <c r="J22" s="107">
        <v>361.63416552526269</v>
      </c>
      <c r="K22" s="107">
        <v>354.89062370867475</v>
      </c>
      <c r="L22" s="107">
        <v>339.53728630378072</v>
      </c>
      <c r="M22" s="107">
        <v>337.43646915479269</v>
      </c>
      <c r="N22" s="107">
        <v>-1.5720542037681473</v>
      </c>
      <c r="O22" s="107">
        <v>-1.9203943174583293</v>
      </c>
      <c r="P22" s="107">
        <v>-0.50878667420853896</v>
      </c>
    </row>
    <row r="23" spans="3:16" x14ac:dyDescent="0.35">
      <c r="C23" s="106" t="s">
        <v>165</v>
      </c>
      <c r="D23" s="107">
        <v>447.286</v>
      </c>
      <c r="E23" s="107">
        <v>550.56881733071918</v>
      </c>
      <c r="F23" s="107">
        <v>545.37130058832167</v>
      </c>
      <c r="G23" s="107">
        <v>573.2561792548795</v>
      </c>
      <c r="H23" s="107">
        <v>579.0109371971248</v>
      </c>
      <c r="I23" s="107">
        <v>605.30214575714854</v>
      </c>
      <c r="J23" s="107">
        <v>591.54663622843407</v>
      </c>
      <c r="K23" s="107">
        <v>559.48804571928542</v>
      </c>
      <c r="L23" s="107">
        <v>540.58531506818736</v>
      </c>
      <c r="M23" s="107">
        <v>517.82022329302265</v>
      </c>
      <c r="N23" s="107">
        <v>0.40462383968324911</v>
      </c>
      <c r="O23" s="107">
        <v>0.54543256485881653</v>
      </c>
      <c r="P23" s="107">
        <v>-0.7774601477997245</v>
      </c>
    </row>
    <row r="24" spans="3:16" x14ac:dyDescent="0.35">
      <c r="C24" s="117" t="s">
        <v>166</v>
      </c>
      <c r="D24" s="116">
        <v>447.286</v>
      </c>
      <c r="E24" s="116">
        <v>550.56881733071918</v>
      </c>
      <c r="F24" s="116">
        <v>496.82174515975021</v>
      </c>
      <c r="G24" s="116">
        <v>516.28694215950316</v>
      </c>
      <c r="H24" s="116">
        <v>543.77009826919004</v>
      </c>
      <c r="I24" s="116">
        <v>570.87185903702152</v>
      </c>
      <c r="J24" s="116">
        <v>568.82249118362631</v>
      </c>
      <c r="K24" s="116">
        <v>535.6767372474493</v>
      </c>
      <c r="L24" s="116">
        <v>515.46630058187907</v>
      </c>
      <c r="M24" s="116">
        <v>490.96112937298687</v>
      </c>
      <c r="N24" s="116">
        <v>-0.64083043467360046</v>
      </c>
      <c r="O24" s="116">
        <v>1.0100879854776368</v>
      </c>
      <c r="P24" s="116">
        <v>-0.7511636133029409</v>
      </c>
    </row>
    <row r="25" spans="3:16" x14ac:dyDescent="0.35">
      <c r="C25" s="117" t="s">
        <v>167</v>
      </c>
      <c r="D25" s="116">
        <v>0</v>
      </c>
      <c r="E25" s="116">
        <v>0</v>
      </c>
      <c r="F25" s="116">
        <v>0</v>
      </c>
      <c r="G25" s="116">
        <v>3.2450029462996868E-2</v>
      </c>
      <c r="H25" s="116">
        <v>0.57029670321436476</v>
      </c>
      <c r="I25" s="116">
        <v>1.588046384251991</v>
      </c>
      <c r="J25" s="116">
        <v>3.0481636646800556</v>
      </c>
      <c r="K25" s="116">
        <v>4.240881397910047</v>
      </c>
      <c r="L25" s="116">
        <v>5.9459157484122258</v>
      </c>
      <c r="M25" s="116">
        <v>6.4526917122198473</v>
      </c>
      <c r="N25" s="116" t="s">
        <v>168</v>
      </c>
      <c r="O25" s="116">
        <v>47.558696049074371</v>
      </c>
      <c r="P25" s="116">
        <v>7.2615050856642549</v>
      </c>
    </row>
    <row r="26" spans="3:16" x14ac:dyDescent="0.35">
      <c r="C26" s="117" t="s">
        <v>169</v>
      </c>
      <c r="D26" s="116">
        <v>0</v>
      </c>
      <c r="E26" s="116">
        <v>0</v>
      </c>
      <c r="F26" s="116">
        <v>48.549555428571438</v>
      </c>
      <c r="G26" s="116">
        <v>56.936787065913308</v>
      </c>
      <c r="H26" s="116">
        <v>34.670542224720407</v>
      </c>
      <c r="I26" s="116">
        <v>32.842240335875012</v>
      </c>
      <c r="J26" s="116">
        <v>19.675981380127674</v>
      </c>
      <c r="K26" s="116">
        <v>19.570427073926158</v>
      </c>
      <c r="L26" s="116">
        <v>19.17309873789614</v>
      </c>
      <c r="M26" s="116">
        <v>20.406402207815866</v>
      </c>
      <c r="N26" s="116" t="s">
        <v>168</v>
      </c>
      <c r="O26" s="116">
        <v>-5.3536256718588193</v>
      </c>
      <c r="P26" s="116">
        <v>-2.3512511001240965</v>
      </c>
    </row>
    <row r="27" spans="3:16" x14ac:dyDescent="0.35">
      <c r="C27" s="106" t="s">
        <v>170</v>
      </c>
      <c r="D27" s="107">
        <v>0</v>
      </c>
      <c r="E27" s="107">
        <v>0</v>
      </c>
      <c r="F27" s="107">
        <v>0</v>
      </c>
      <c r="G27" s="107">
        <v>9.3757572078861894E-3</v>
      </c>
      <c r="H27" s="107">
        <v>7.6859579993737159E-2</v>
      </c>
      <c r="I27" s="107">
        <v>0.58098246010531684</v>
      </c>
      <c r="J27" s="107">
        <v>2.7206374405778493</v>
      </c>
      <c r="K27" s="107">
        <v>6.8796438032073217</v>
      </c>
      <c r="L27" s="107">
        <v>10.762249172937528</v>
      </c>
      <c r="M27" s="107">
        <v>14.684102439190442</v>
      </c>
      <c r="N27" s="107" t="s">
        <v>168</v>
      </c>
      <c r="O27" s="107">
        <v>51.08302331103063</v>
      </c>
      <c r="P27" s="107">
        <v>17.526071451792834</v>
      </c>
    </row>
    <row r="28" spans="3:16" x14ac:dyDescent="0.35">
      <c r="C28" s="106" t="s">
        <v>171</v>
      </c>
      <c r="D28" s="107">
        <v>0</v>
      </c>
      <c r="E28" s="107">
        <v>0</v>
      </c>
      <c r="F28" s="107">
        <v>0</v>
      </c>
      <c r="G28" s="107">
        <v>0</v>
      </c>
      <c r="H28" s="107">
        <v>0</v>
      </c>
      <c r="I28" s="107">
        <v>0</v>
      </c>
      <c r="J28" s="107">
        <v>0</v>
      </c>
      <c r="K28" s="107">
        <v>0</v>
      </c>
      <c r="L28" s="107">
        <v>0</v>
      </c>
      <c r="M28" s="107">
        <v>0</v>
      </c>
      <c r="N28" s="107" t="s">
        <v>168</v>
      </c>
      <c r="O28" s="107" t="s">
        <v>168</v>
      </c>
      <c r="P28" s="107" t="s">
        <v>168</v>
      </c>
    </row>
    <row r="31" spans="3:16" x14ac:dyDescent="0.35">
      <c r="C31" s="106" t="s">
        <v>160</v>
      </c>
      <c r="D31" s="109">
        <f>D18/D$9</f>
        <v>4.1528049683136142E-2</v>
      </c>
      <c r="E31" s="109">
        <f t="shared" ref="E31:M31" si="0">E18/E$9</f>
        <v>2.8732318695598193E-2</v>
      </c>
      <c r="F31" s="109">
        <f t="shared" si="0"/>
        <v>1.1589295662460555E-2</v>
      </c>
      <c r="G31" s="109">
        <f t="shared" si="0"/>
        <v>1.295851105217734E-2</v>
      </c>
      <c r="H31" s="109">
        <f t="shared" si="0"/>
        <v>1.4244504155757476E-2</v>
      </c>
      <c r="I31" s="109">
        <f t="shared" si="0"/>
        <v>1.3681942652564056E-2</v>
      </c>
      <c r="J31" s="109">
        <f t="shared" si="0"/>
        <v>1.0981262347064572E-2</v>
      </c>
      <c r="K31" s="109">
        <f t="shared" si="0"/>
        <v>7.7085988875760757E-3</v>
      </c>
      <c r="L31" s="109">
        <f t="shared" si="0"/>
        <v>5.5811717402476837E-3</v>
      </c>
      <c r="M31" s="109">
        <f t="shared" si="0"/>
        <v>2.5023913912233173E-3</v>
      </c>
      <c r="N31" s="109"/>
      <c r="O31" s="109"/>
      <c r="P31" s="109"/>
    </row>
    <row r="32" spans="3:16" x14ac:dyDescent="0.35">
      <c r="C32" s="106" t="s">
        <v>161</v>
      </c>
      <c r="D32" s="109">
        <f t="shared" ref="D32:M41" si="1">D19/D$9</f>
        <v>0.3301254492808286</v>
      </c>
      <c r="E32" s="109">
        <f t="shared" si="1"/>
        <v>0.31490305034094146</v>
      </c>
      <c r="F32" s="109">
        <f t="shared" si="1"/>
        <v>0.34535451177735582</v>
      </c>
      <c r="G32" s="109">
        <f t="shared" si="1"/>
        <v>0.32103793463960911</v>
      </c>
      <c r="H32" s="109">
        <f t="shared" si="1"/>
        <v>0.31404581153176336</v>
      </c>
      <c r="I32" s="109">
        <f t="shared" si="1"/>
        <v>0.29527579940778281</v>
      </c>
      <c r="J32" s="109">
        <f t="shared" si="1"/>
        <v>0.27422989062326553</v>
      </c>
      <c r="K32" s="109">
        <f t="shared" si="1"/>
        <v>0.26224748841032025</v>
      </c>
      <c r="L32" s="109">
        <f t="shared" si="1"/>
        <v>0.24897327805179129</v>
      </c>
      <c r="M32" s="109">
        <f t="shared" si="1"/>
        <v>0.23332344162712379</v>
      </c>
      <c r="N32" s="109"/>
      <c r="O32" s="109"/>
      <c r="P32" s="109"/>
    </row>
    <row r="33" spans="3:16" x14ac:dyDescent="0.35">
      <c r="C33" s="106" t="s">
        <v>162</v>
      </c>
      <c r="D33" s="109">
        <f t="shared" si="1"/>
        <v>9.3073613564423716E-2</v>
      </c>
      <c r="E33" s="109">
        <f t="shared" si="1"/>
        <v>7.2160948400489214E-2</v>
      </c>
      <c r="F33" s="109">
        <f t="shared" si="1"/>
        <v>8.0012464019789314E-2</v>
      </c>
      <c r="G33" s="109">
        <f t="shared" si="1"/>
        <v>8.3525923587093182E-2</v>
      </c>
      <c r="H33" s="109">
        <f t="shared" si="1"/>
        <v>7.8907351644007487E-2</v>
      </c>
      <c r="I33" s="109">
        <f>I20/I$9</f>
        <v>7.3302140903793125E-2</v>
      </c>
      <c r="J33" s="109">
        <f t="shared" si="1"/>
        <v>7.2720175579696747E-2</v>
      </c>
      <c r="K33" s="109">
        <f t="shared" si="1"/>
        <v>7.6079393390034902E-2</v>
      </c>
      <c r="L33" s="109">
        <f t="shared" si="1"/>
        <v>7.7742180138179948E-2</v>
      </c>
      <c r="M33" s="109">
        <f t="shared" si="1"/>
        <v>7.8310629258176501E-2</v>
      </c>
      <c r="N33" s="109"/>
      <c r="O33" s="109"/>
      <c r="P33" s="109"/>
    </row>
    <row r="34" spans="3:16" x14ac:dyDescent="0.35">
      <c r="C34" s="106" t="s">
        <v>163</v>
      </c>
      <c r="D34" s="109">
        <f t="shared" si="1"/>
        <v>0.18360917403034083</v>
      </c>
      <c r="E34" s="109">
        <f t="shared" si="1"/>
        <v>0.20703494413250367</v>
      </c>
      <c r="F34" s="109">
        <f t="shared" si="1"/>
        <v>0.2119450881123788</v>
      </c>
      <c r="G34" s="109">
        <f t="shared" si="1"/>
        <v>0.20345867580318105</v>
      </c>
      <c r="H34" s="109">
        <f t="shared" si="1"/>
        <v>0.24811702636861871</v>
      </c>
      <c r="I34" s="109">
        <f t="shared" si="1"/>
        <v>0.27248379125329775</v>
      </c>
      <c r="J34" s="109">
        <f t="shared" si="1"/>
        <v>0.29747563199523441</v>
      </c>
      <c r="K34" s="109">
        <f t="shared" si="1"/>
        <v>0.31679745213969657</v>
      </c>
      <c r="L34" s="109">
        <f t="shared" si="1"/>
        <v>0.33599188408141145</v>
      </c>
      <c r="M34" s="109">
        <f t="shared" si="1"/>
        <v>0.35579754704473099</v>
      </c>
      <c r="N34" s="109"/>
      <c r="O34" s="109"/>
      <c r="P34" s="109"/>
    </row>
    <row r="35" spans="3:16" x14ac:dyDescent="0.35">
      <c r="C35" s="106" t="s">
        <v>164</v>
      </c>
      <c r="D35" s="109">
        <f t="shared" si="1"/>
        <v>0.19353087929147803</v>
      </c>
      <c r="E35" s="109">
        <f t="shared" si="1"/>
        <v>0.1852659965260747</v>
      </c>
      <c r="F35" s="109">
        <f t="shared" si="1"/>
        <v>0.15490826147536133</v>
      </c>
      <c r="G35" s="109">
        <f t="shared" si="1"/>
        <v>0.16743306259461793</v>
      </c>
      <c r="H35" s="109">
        <f t="shared" si="1"/>
        <v>0.14021119761759465</v>
      </c>
      <c r="I35" s="109">
        <f t="shared" si="1"/>
        <v>0.13170661753478491</v>
      </c>
      <c r="J35" s="109">
        <f t="shared" si="1"/>
        <v>0.13036554937511885</v>
      </c>
      <c r="K35" s="109">
        <f t="shared" si="1"/>
        <v>0.12988477720558997</v>
      </c>
      <c r="L35" s="109">
        <f t="shared" si="1"/>
        <v>0.1264230924113221</v>
      </c>
      <c r="M35" s="109">
        <f t="shared" si="1"/>
        <v>0.12802745099128379</v>
      </c>
      <c r="N35" s="109"/>
      <c r="O35" s="109"/>
      <c r="P35" s="109"/>
    </row>
    <row r="36" spans="3:16" x14ac:dyDescent="0.35">
      <c r="C36" s="106" t="s">
        <v>165</v>
      </c>
      <c r="D36" s="109">
        <f t="shared" si="1"/>
        <v>0.15813283414979254</v>
      </c>
      <c r="E36" s="109">
        <f t="shared" si="1"/>
        <v>0.19190274190439277</v>
      </c>
      <c r="F36" s="109">
        <f t="shared" si="1"/>
        <v>0.19619037895265423</v>
      </c>
      <c r="G36" s="109">
        <f t="shared" si="1"/>
        <v>0.21158243183640094</v>
      </c>
      <c r="H36" s="109">
        <f t="shared" si="1"/>
        <v>0.20444696980245419</v>
      </c>
      <c r="I36" s="109">
        <f t="shared" si="1"/>
        <v>0.21334493503480192</v>
      </c>
      <c r="J36" s="109">
        <f t="shared" si="1"/>
        <v>0.21324672711969245</v>
      </c>
      <c r="K36" s="109">
        <f t="shared" si="1"/>
        <v>0.20476444096503765</v>
      </c>
      <c r="L36" s="109">
        <f t="shared" si="1"/>
        <v>0.20128118471773312</v>
      </c>
      <c r="M36" s="109">
        <f t="shared" si="1"/>
        <v>0.19646721477971427</v>
      </c>
      <c r="N36" s="109"/>
      <c r="O36" s="109"/>
      <c r="P36" s="109"/>
    </row>
    <row r="37" spans="3:16" x14ac:dyDescent="0.35">
      <c r="C37" s="117" t="s">
        <v>166</v>
      </c>
      <c r="D37" s="114">
        <f t="shared" si="1"/>
        <v>0.15813283414979254</v>
      </c>
      <c r="E37" s="114">
        <f t="shared" si="1"/>
        <v>0.19190274190439277</v>
      </c>
      <c r="F37" s="114">
        <f t="shared" si="1"/>
        <v>0.17872529476645074</v>
      </c>
      <c r="G37" s="114">
        <f t="shared" si="1"/>
        <v>0.19055572482354038</v>
      </c>
      <c r="H37" s="114">
        <f t="shared" si="1"/>
        <v>0.19200353865244862</v>
      </c>
      <c r="I37" s="114">
        <f t="shared" si="1"/>
        <v>0.20120962817190147</v>
      </c>
      <c r="J37" s="114">
        <f t="shared" si="1"/>
        <v>0.20505489699063542</v>
      </c>
      <c r="K37" s="114">
        <f t="shared" si="1"/>
        <v>0.19604985035816722</v>
      </c>
      <c r="L37" s="114">
        <f t="shared" si="1"/>
        <v>0.19192838719657165</v>
      </c>
      <c r="M37" s="114">
        <f t="shared" si="1"/>
        <v>0.1862765518109756</v>
      </c>
      <c r="N37" s="109"/>
      <c r="O37" s="109"/>
      <c r="P37" s="109"/>
    </row>
    <row r="38" spans="3:16" x14ac:dyDescent="0.35">
      <c r="C38" s="117" t="s">
        <v>167</v>
      </c>
      <c r="D38" s="114">
        <f t="shared" si="1"/>
        <v>0</v>
      </c>
      <c r="E38" s="114">
        <f t="shared" si="1"/>
        <v>0</v>
      </c>
      <c r="F38" s="114">
        <f t="shared" si="1"/>
        <v>0</v>
      </c>
      <c r="G38" s="114">
        <f t="shared" si="1"/>
        <v>1.1976942238752669E-5</v>
      </c>
      <c r="H38" s="114">
        <f t="shared" si="1"/>
        <v>2.0137000075494497E-4</v>
      </c>
      <c r="I38" s="114">
        <f t="shared" si="1"/>
        <v>5.597231978365111E-4</v>
      </c>
      <c r="J38" s="114">
        <f t="shared" si="1"/>
        <v>1.0988329328732395E-3</v>
      </c>
      <c r="K38" s="114">
        <f t="shared" si="1"/>
        <v>1.5521005592276328E-3</v>
      </c>
      <c r="L38" s="114">
        <f t="shared" si="1"/>
        <v>2.2138984036613719E-3</v>
      </c>
      <c r="M38" s="114">
        <f t="shared" si="1"/>
        <v>2.4482287703440899E-3</v>
      </c>
      <c r="N38" s="109"/>
      <c r="O38" s="109"/>
      <c r="P38" s="109"/>
    </row>
    <row r="39" spans="3:16" x14ac:dyDescent="0.35">
      <c r="C39" s="117" t="s">
        <v>169</v>
      </c>
      <c r="D39" s="114">
        <f t="shared" si="1"/>
        <v>0</v>
      </c>
      <c r="E39" s="114">
        <f t="shared" si="1"/>
        <v>0</v>
      </c>
      <c r="F39" s="114">
        <f t="shared" si="1"/>
        <v>1.7465084186203478E-2</v>
      </c>
      <c r="G39" s="114">
        <f t="shared" si="1"/>
        <v>2.1014730070621802E-2</v>
      </c>
      <c r="H39" s="114">
        <f t="shared" si="1"/>
        <v>1.2242061149250645E-2</v>
      </c>
      <c r="I39" s="114">
        <f t="shared" si="1"/>
        <v>1.1575583665063949E-2</v>
      </c>
      <c r="J39" s="114">
        <f t="shared" si="1"/>
        <v>7.0929971961837908E-3</v>
      </c>
      <c r="K39" s="114">
        <f t="shared" si="1"/>
        <v>7.1624900476428459E-3</v>
      </c>
      <c r="L39" s="114">
        <f t="shared" si="1"/>
        <v>7.1388991175001231E-3</v>
      </c>
      <c r="M39" s="114">
        <f t="shared" si="1"/>
        <v>7.7424341983945389E-3</v>
      </c>
      <c r="N39" s="109"/>
      <c r="O39" s="109"/>
      <c r="P39" s="109"/>
    </row>
    <row r="40" spans="3:16" x14ac:dyDescent="0.35">
      <c r="C40" s="106" t="s">
        <v>170</v>
      </c>
      <c r="D40" s="109">
        <f t="shared" si="1"/>
        <v>0</v>
      </c>
      <c r="E40" s="109">
        <f t="shared" si="1"/>
        <v>0</v>
      </c>
      <c r="F40" s="109">
        <f t="shared" si="1"/>
        <v>0</v>
      </c>
      <c r="G40" s="109">
        <f t="shared" si="1"/>
        <v>3.460486920403901E-6</v>
      </c>
      <c r="H40" s="109">
        <f t="shared" si="1"/>
        <v>2.713887980437086E-5</v>
      </c>
      <c r="I40" s="109">
        <f t="shared" si="1"/>
        <v>2.0477321297528937E-4</v>
      </c>
      <c r="J40" s="109">
        <f t="shared" si="1"/>
        <v>9.8076295992744595E-4</v>
      </c>
      <c r="K40" s="109">
        <f t="shared" si="1"/>
        <v>2.5178490017445875E-3</v>
      </c>
      <c r="L40" s="109">
        <f t="shared" si="1"/>
        <v>4.0072088593140348E-3</v>
      </c>
      <c r="M40" s="109">
        <f t="shared" si="1"/>
        <v>5.5713249077474327E-3</v>
      </c>
      <c r="N40" s="109"/>
      <c r="O40" s="109"/>
      <c r="P40" s="109"/>
    </row>
    <row r="41" spans="3:16" x14ac:dyDescent="0.35">
      <c r="C41" s="106" t="s">
        <v>171</v>
      </c>
      <c r="D41" s="109">
        <f t="shared" si="1"/>
        <v>0</v>
      </c>
      <c r="E41" s="109">
        <f t="shared" si="1"/>
        <v>0</v>
      </c>
      <c r="F41" s="109">
        <f t="shared" si="1"/>
        <v>0</v>
      </c>
      <c r="G41" s="109">
        <f t="shared" si="1"/>
        <v>0</v>
      </c>
      <c r="H41" s="109">
        <f t="shared" si="1"/>
        <v>0</v>
      </c>
      <c r="I41" s="109">
        <f t="shared" si="1"/>
        <v>0</v>
      </c>
      <c r="J41" s="109">
        <f t="shared" si="1"/>
        <v>0</v>
      </c>
      <c r="K41" s="109">
        <f t="shared" si="1"/>
        <v>0</v>
      </c>
      <c r="L41" s="109">
        <f t="shared" si="1"/>
        <v>0</v>
      </c>
      <c r="M41" s="109">
        <f t="shared" si="1"/>
        <v>0</v>
      </c>
      <c r="N41" s="109"/>
      <c r="O41" s="109"/>
      <c r="P41" s="109"/>
    </row>
    <row r="42" spans="3:16" x14ac:dyDescent="0.35">
      <c r="C42" s="106"/>
      <c r="D42" s="108"/>
      <c r="E42" s="108"/>
      <c r="F42" s="108"/>
      <c r="G42" s="108"/>
      <c r="H42" s="108"/>
      <c r="I42" s="108"/>
      <c r="J42" s="108"/>
      <c r="K42" s="108"/>
      <c r="L42" s="108"/>
      <c r="M42" s="108"/>
      <c r="N42" s="108"/>
      <c r="O42" s="108"/>
      <c r="P42" s="108"/>
    </row>
    <row r="44" spans="3:16" x14ac:dyDescent="0.35">
      <c r="C44" s="106" t="s">
        <v>160</v>
      </c>
      <c r="D44" s="110">
        <f>D31*D$14</f>
        <v>36.934881275982548</v>
      </c>
      <c r="E44" s="110">
        <f t="shared" ref="E44:M44" si="2">E31*E$14</f>
        <v>29.503723987937612</v>
      </c>
      <c r="F44" s="110">
        <f t="shared" si="2"/>
        <v>9.9357404943750236</v>
      </c>
      <c r="G44" s="110">
        <f t="shared" si="2"/>
        <v>12.670364288720217</v>
      </c>
      <c r="H44" s="110">
        <f t="shared" si="2"/>
        <v>11.429751175802743</v>
      </c>
      <c r="I44" s="110">
        <f t="shared" si="2"/>
        <v>9.9204733343191567</v>
      </c>
      <c r="J44" s="110">
        <f t="shared" si="2"/>
        <v>7.6198372601475475</v>
      </c>
      <c r="K44" s="110">
        <f t="shared" si="2"/>
        <v>5.1707263898542601</v>
      </c>
      <c r="L44" s="110">
        <f t="shared" si="2"/>
        <v>3.6460322140963379</v>
      </c>
      <c r="M44" s="110">
        <f t="shared" si="2"/>
        <v>1.6056519231141402</v>
      </c>
      <c r="N44" s="111"/>
      <c r="O44" s="111"/>
      <c r="P44" s="111"/>
    </row>
    <row r="45" spans="3:16" x14ac:dyDescent="0.35">
      <c r="C45" s="106" t="s">
        <v>161</v>
      </c>
      <c r="D45" s="110">
        <f t="shared" ref="D45:M54" si="3">D32*D$14</f>
        <v>293.61225408857183</v>
      </c>
      <c r="E45" s="110">
        <f t="shared" si="3"/>
        <v>323.35756743649506</v>
      </c>
      <c r="F45" s="110">
        <f t="shared" si="3"/>
        <v>296.07949503748102</v>
      </c>
      <c r="G45" s="110">
        <f t="shared" si="3"/>
        <v>313.89930262850169</v>
      </c>
      <c r="H45" s="110">
        <f t="shared" si="3"/>
        <v>251.98950025650944</v>
      </c>
      <c r="I45" s="110">
        <f t="shared" si="3"/>
        <v>214.09793687051618</v>
      </c>
      <c r="J45" s="110">
        <f t="shared" si="3"/>
        <v>190.28660570848831</v>
      </c>
      <c r="K45" s="110">
        <f t="shared" si="3"/>
        <v>175.90875187210989</v>
      </c>
      <c r="L45" s="110">
        <f t="shared" si="3"/>
        <v>162.64767229429685</v>
      </c>
      <c r="M45" s="110">
        <f t="shared" si="3"/>
        <v>149.71128580052249</v>
      </c>
      <c r="N45" s="111"/>
      <c r="O45" s="111"/>
      <c r="P45" s="111"/>
    </row>
    <row r="46" spans="3:16" x14ac:dyDescent="0.35">
      <c r="C46" s="106" t="s">
        <v>162</v>
      </c>
      <c r="D46" s="112">
        <f t="shared" si="3"/>
        <v>82.779299609744186</v>
      </c>
      <c r="E46" s="112">
        <f t="shared" si="3"/>
        <v>74.098325543145549</v>
      </c>
      <c r="F46" s="112">
        <f t="shared" si="3"/>
        <v>68.596323881114984</v>
      </c>
      <c r="G46" s="112">
        <f t="shared" si="3"/>
        <v>81.668632695456068</v>
      </c>
      <c r="H46" s="112">
        <f t="shared" si="3"/>
        <v>63.315043147222511</v>
      </c>
      <c r="I46" s="112">
        <f t="shared" si="3"/>
        <v>53.149757505255025</v>
      </c>
      <c r="J46" s="112">
        <f t="shared" si="3"/>
        <v>50.460127982896893</v>
      </c>
      <c r="K46" s="112">
        <f t="shared" si="3"/>
        <v>51.032065990614164</v>
      </c>
      <c r="L46" s="112">
        <f t="shared" si="3"/>
        <v>50.786914714311493</v>
      </c>
      <c r="M46" s="112">
        <f t="shared" si="3"/>
        <v>50.247780147293653</v>
      </c>
      <c r="N46" s="113"/>
      <c r="O46" s="113"/>
      <c r="P46" s="113"/>
    </row>
    <row r="47" spans="3:16" x14ac:dyDescent="0.35">
      <c r="C47" s="106" t="s">
        <v>163</v>
      </c>
      <c r="D47" s="110">
        <f t="shared" si="3"/>
        <v>163.30126494588902</v>
      </c>
      <c r="E47" s="110">
        <f t="shared" si="3"/>
        <v>212.59341831257314</v>
      </c>
      <c r="F47" s="110">
        <f t="shared" si="3"/>
        <v>181.70486420181206</v>
      </c>
      <c r="G47" s="110">
        <f t="shared" si="3"/>
        <v>198.93454809329975</v>
      </c>
      <c r="H47" s="110">
        <f t="shared" si="3"/>
        <v>199.08842335709895</v>
      </c>
      <c r="I47" s="110">
        <f t="shared" si="3"/>
        <v>197.57195698053465</v>
      </c>
      <c r="J47" s="110">
        <f t="shared" si="3"/>
        <v>206.41669719047815</v>
      </c>
      <c r="K47" s="110">
        <f t="shared" si="3"/>
        <v>212.49943989917517</v>
      </c>
      <c r="L47" s="110">
        <f t="shared" si="3"/>
        <v>219.49463124411639</v>
      </c>
      <c r="M47" s="110">
        <f t="shared" si="3"/>
        <v>228.29642783113439</v>
      </c>
      <c r="N47" s="111"/>
      <c r="O47" s="111"/>
      <c r="P47" s="111"/>
    </row>
    <row r="48" spans="3:16" x14ac:dyDescent="0.35">
      <c r="C48" s="106" t="s">
        <v>164</v>
      </c>
      <c r="D48" s="110">
        <f t="shared" si="3"/>
        <v>172.12558991832339</v>
      </c>
      <c r="E48" s="110">
        <f t="shared" si="3"/>
        <v>190.24001800080674</v>
      </c>
      <c r="F48" s="110">
        <f t="shared" si="3"/>
        <v>132.8060247387981</v>
      </c>
      <c r="G48" s="110">
        <f t="shared" si="3"/>
        <v>163.71000406666715</v>
      </c>
      <c r="H48" s="110">
        <f t="shared" si="3"/>
        <v>112.50508149015968</v>
      </c>
      <c r="I48" s="110">
        <f t="shared" si="3"/>
        <v>95.497548877852125</v>
      </c>
      <c r="J48" s="110">
        <f t="shared" si="3"/>
        <v>90.459934311074363</v>
      </c>
      <c r="K48" s="110">
        <f t="shared" si="3"/>
        <v>87.123309298100665</v>
      </c>
      <c r="L48" s="110">
        <f t="shared" si="3"/>
        <v>82.588870041992777</v>
      </c>
      <c r="M48" s="110">
        <f t="shared" si="3"/>
        <v>82.148429544853315</v>
      </c>
      <c r="N48" s="111"/>
      <c r="O48" s="111"/>
      <c r="P48" s="111"/>
    </row>
    <row r="49" spans="3:19" x14ac:dyDescent="0.35">
      <c r="C49" s="106" t="s">
        <v>165</v>
      </c>
      <c r="D49" s="110">
        <f t="shared" si="3"/>
        <v>140.64271016148888</v>
      </c>
      <c r="E49" s="110">
        <f t="shared" si="3"/>
        <v>197.05494671904191</v>
      </c>
      <c r="F49" s="110">
        <f t="shared" si="3"/>
        <v>168.1980294178471</v>
      </c>
      <c r="G49" s="110">
        <f t="shared" si="3"/>
        <v>206.87766346505302</v>
      </c>
      <c r="H49" s="110">
        <f t="shared" si="3"/>
        <v>164.04768940619164</v>
      </c>
      <c r="I49" s="110">
        <f t="shared" si="3"/>
        <v>154.69168324778553</v>
      </c>
      <c r="J49" s="110">
        <f t="shared" si="3"/>
        <v>147.97072554645837</v>
      </c>
      <c r="K49" s="110">
        <f t="shared" si="3"/>
        <v>137.35062805098195</v>
      </c>
      <c r="L49" s="110">
        <f t="shared" si="3"/>
        <v>131.49168628517461</v>
      </c>
      <c r="M49" s="110">
        <f t="shared" si="3"/>
        <v>126.06259849931489</v>
      </c>
      <c r="N49" s="111"/>
      <c r="O49" s="111"/>
      <c r="P49" s="111"/>
    </row>
    <row r="50" spans="3:19" x14ac:dyDescent="0.35">
      <c r="C50" s="117" t="s">
        <v>166</v>
      </c>
      <c r="D50" s="115">
        <f t="shared" si="3"/>
        <v>140.64271016148888</v>
      </c>
      <c r="E50" s="115">
        <f t="shared" si="3"/>
        <v>197.05494671904191</v>
      </c>
      <c r="F50" s="115">
        <f t="shared" si="3"/>
        <v>153.2248550990129</v>
      </c>
      <c r="G50" s="115">
        <f t="shared" si="3"/>
        <v>186.31850843771932</v>
      </c>
      <c r="H50" s="115">
        <f t="shared" si="3"/>
        <v>154.06311428426218</v>
      </c>
      <c r="I50" s="115">
        <f t="shared" si="3"/>
        <v>145.89264124079224</v>
      </c>
      <c r="J50" s="115">
        <f t="shared" si="3"/>
        <v>142.28645988797751</v>
      </c>
      <c r="K50" s="115">
        <f t="shared" si="3"/>
        <v>131.50510874392018</v>
      </c>
      <c r="L50" s="115">
        <f t="shared" si="3"/>
        <v>125.38175047937162</v>
      </c>
      <c r="M50" s="115">
        <f t="shared" si="3"/>
        <v>119.52379020139941</v>
      </c>
      <c r="N50" s="111"/>
      <c r="O50" s="111"/>
      <c r="P50" s="111"/>
    </row>
    <row r="51" spans="3:19" x14ac:dyDescent="0.35">
      <c r="C51" s="117" t="s">
        <v>167</v>
      </c>
      <c r="D51" s="115">
        <f t="shared" si="3"/>
        <v>0</v>
      </c>
      <c r="E51" s="115">
        <f t="shared" si="3"/>
        <v>0</v>
      </c>
      <c r="F51" s="115">
        <f t="shared" si="3"/>
        <v>0</v>
      </c>
      <c r="G51" s="115">
        <f t="shared" si="3"/>
        <v>1.1710621738788313E-2</v>
      </c>
      <c r="H51" s="115">
        <f t="shared" si="3"/>
        <v>0.16157873785799315</v>
      </c>
      <c r="I51" s="115">
        <f t="shared" si="3"/>
        <v>0.40584288355399228</v>
      </c>
      <c r="J51" s="115">
        <f t="shared" si="3"/>
        <v>0.76247409996746929</v>
      </c>
      <c r="K51" s="115">
        <f t="shared" si="3"/>
        <v>1.041108434665154</v>
      </c>
      <c r="L51" s="115">
        <f t="shared" si="3"/>
        <v>1.446281403647973</v>
      </c>
      <c r="M51" s="115">
        <f t="shared" si="3"/>
        <v>1.5708986400423346</v>
      </c>
      <c r="N51" s="111"/>
      <c r="O51" s="111"/>
      <c r="P51" s="111"/>
    </row>
    <row r="52" spans="3:19" x14ac:dyDescent="0.35">
      <c r="C52" s="117" t="s">
        <v>169</v>
      </c>
      <c r="D52" s="115">
        <f t="shared" si="3"/>
        <v>0</v>
      </c>
      <c r="E52" s="115">
        <f t="shared" si="3"/>
        <v>0</v>
      </c>
      <c r="F52" s="115">
        <f t="shared" si="3"/>
        <v>14.973174318834182</v>
      </c>
      <c r="G52" s="115">
        <f t="shared" si="3"/>
        <v>20.547444405594931</v>
      </c>
      <c r="H52" s="115">
        <f t="shared" si="3"/>
        <v>9.8229963840714642</v>
      </c>
      <c r="I52" s="115">
        <f t="shared" si="3"/>
        <v>8.3931991234392935</v>
      </c>
      <c r="J52" s="115">
        <f t="shared" si="3"/>
        <v>4.9217915585133882</v>
      </c>
      <c r="K52" s="115">
        <f t="shared" si="3"/>
        <v>4.8044108723966685</v>
      </c>
      <c r="L52" s="115">
        <f t="shared" si="3"/>
        <v>4.6636544021550312</v>
      </c>
      <c r="M52" s="115">
        <f t="shared" si="3"/>
        <v>4.9679096578731228</v>
      </c>
      <c r="N52" s="111"/>
      <c r="O52" s="111"/>
      <c r="P52" s="111"/>
    </row>
    <row r="53" spans="3:19" x14ac:dyDescent="0.35">
      <c r="C53" s="106" t="s">
        <v>170</v>
      </c>
      <c r="D53" s="112">
        <f t="shared" si="3"/>
        <v>0</v>
      </c>
      <c r="E53" s="112">
        <f t="shared" si="3"/>
        <v>0</v>
      </c>
      <c r="F53" s="112">
        <f t="shared" si="3"/>
        <v>0</v>
      </c>
      <c r="G53" s="112">
        <f t="shared" si="3"/>
        <v>3.3835391829605201E-3</v>
      </c>
      <c r="H53" s="112">
        <f t="shared" si="3"/>
        <v>2.1776162930080046E-2</v>
      </c>
      <c r="I53" s="112">
        <f t="shared" si="3"/>
        <v>0.14847651758893418</v>
      </c>
      <c r="J53" s="112">
        <f t="shared" si="3"/>
        <v>0.68054599819532058</v>
      </c>
      <c r="K53" s="112">
        <f t="shared" si="3"/>
        <v>1.6889072150286351</v>
      </c>
      <c r="L53" s="112">
        <f t="shared" si="3"/>
        <v>2.6178037999280099</v>
      </c>
      <c r="M53" s="112">
        <f t="shared" si="3"/>
        <v>3.5748238999676349</v>
      </c>
      <c r="N53" s="111"/>
      <c r="O53" s="111"/>
      <c r="P53" s="111"/>
    </row>
    <row r="54" spans="3:19" x14ac:dyDescent="0.35">
      <c r="C54" s="106" t="s">
        <v>171</v>
      </c>
      <c r="D54" s="110">
        <f t="shared" si="3"/>
        <v>0</v>
      </c>
      <c r="E54" s="110">
        <f t="shared" si="3"/>
        <v>0</v>
      </c>
      <c r="F54" s="110">
        <f t="shared" si="3"/>
        <v>0</v>
      </c>
      <c r="G54" s="110">
        <f t="shared" si="3"/>
        <v>0</v>
      </c>
      <c r="H54" s="110">
        <f t="shared" si="3"/>
        <v>0</v>
      </c>
      <c r="I54" s="110">
        <f t="shared" si="3"/>
        <v>0</v>
      </c>
      <c r="J54" s="110">
        <f t="shared" si="3"/>
        <v>0</v>
      </c>
      <c r="K54" s="110">
        <f t="shared" si="3"/>
        <v>0</v>
      </c>
      <c r="L54" s="110">
        <f t="shared" si="3"/>
        <v>0</v>
      </c>
      <c r="M54" s="110">
        <f t="shared" si="3"/>
        <v>0</v>
      </c>
      <c r="N54" s="111"/>
      <c r="O54" s="111"/>
      <c r="P54" s="111"/>
    </row>
    <row r="57" spans="3:19" ht="15" thickBot="1" x14ac:dyDescent="0.4">
      <c r="C57" s="1" t="s">
        <v>69</v>
      </c>
      <c r="D57" s="1"/>
      <c r="E57" s="1"/>
      <c r="F57" s="1"/>
      <c r="G57" s="1"/>
      <c r="H57" s="1"/>
      <c r="I57" s="1"/>
      <c r="J57" s="1"/>
      <c r="K57" s="1"/>
      <c r="L57" s="1"/>
      <c r="M57" s="1"/>
      <c r="N57" s="1"/>
      <c r="O57" s="1"/>
      <c r="P57" s="1"/>
      <c r="Q57" s="1"/>
      <c r="R57" s="1"/>
      <c r="S57" s="1"/>
    </row>
    <row r="59" spans="3:19" x14ac:dyDescent="0.35">
      <c r="C59" s="9"/>
      <c r="D59" s="9">
        <v>2005</v>
      </c>
      <c r="E59" s="9">
        <v>2010</v>
      </c>
      <c r="F59" s="9">
        <v>2015</v>
      </c>
      <c r="G59" s="9">
        <v>2020</v>
      </c>
      <c r="H59" s="9">
        <v>2025</v>
      </c>
      <c r="I59" s="9">
        <v>2030</v>
      </c>
      <c r="J59" s="9">
        <v>2035</v>
      </c>
      <c r="K59" s="9">
        <v>2040</v>
      </c>
      <c r="L59" s="9">
        <v>2045</v>
      </c>
      <c r="M59" s="9">
        <v>2050</v>
      </c>
      <c r="N59" s="9" t="s">
        <v>148</v>
      </c>
      <c r="O59" s="9" t="s">
        <v>149</v>
      </c>
      <c r="P59" s="9" t="s">
        <v>150</v>
      </c>
    </row>
    <row r="60" spans="3:19" x14ac:dyDescent="0.35">
      <c r="C60" s="68" t="s">
        <v>151</v>
      </c>
      <c r="D60" s="118">
        <v>4622.4078564164502</v>
      </c>
      <c r="E60" s="118">
        <v>4757.2576611428203</v>
      </c>
      <c r="F60" s="118">
        <v>4776.5059304845699</v>
      </c>
      <c r="G60" s="118">
        <v>4827.6838863962421</v>
      </c>
      <c r="H60" s="118">
        <v>4993.4561024037084</v>
      </c>
      <c r="I60" s="118">
        <v>4714.9920768672173</v>
      </c>
      <c r="J60" s="118">
        <v>4464.3035683809085</v>
      </c>
      <c r="K60" s="118">
        <v>4346.7890351419028</v>
      </c>
      <c r="L60" s="118">
        <v>4258.7203180297156</v>
      </c>
      <c r="M60" s="118">
        <v>4220.6082834167009</v>
      </c>
      <c r="N60" s="118">
        <v>0.14706248512956765</v>
      </c>
      <c r="O60" s="118">
        <v>-0.23591718051002575</v>
      </c>
      <c r="P60" s="118">
        <v>-0.55230900956896312</v>
      </c>
    </row>
    <row r="61" spans="3:19" x14ac:dyDescent="0.35">
      <c r="C61" s="105" t="s">
        <v>152</v>
      </c>
      <c r="D61" s="107"/>
      <c r="E61" s="107"/>
      <c r="F61" s="107"/>
      <c r="G61" s="107"/>
      <c r="H61" s="107"/>
      <c r="I61" s="107"/>
      <c r="J61" s="107"/>
      <c r="K61" s="107"/>
      <c r="L61" s="107"/>
      <c r="M61" s="107"/>
      <c r="N61" s="107"/>
      <c r="O61" s="107"/>
      <c r="P61" s="107"/>
    </row>
    <row r="62" spans="3:19" x14ac:dyDescent="0.35">
      <c r="C62" s="106" t="s">
        <v>153</v>
      </c>
      <c r="D62" s="107">
        <v>1057.595</v>
      </c>
      <c r="E62" s="107">
        <v>949.62999999999988</v>
      </c>
      <c r="F62" s="107">
        <v>982.75198608580195</v>
      </c>
      <c r="G62" s="107">
        <v>971.62529853030446</v>
      </c>
      <c r="H62" s="107">
        <v>1048.4109012102754</v>
      </c>
      <c r="I62" s="107">
        <v>1021.8380491108742</v>
      </c>
      <c r="J62" s="107">
        <v>936.08712984645365</v>
      </c>
      <c r="K62" s="107">
        <v>898.33924919550077</v>
      </c>
      <c r="L62" s="107">
        <v>899.7981872794029</v>
      </c>
      <c r="M62" s="107">
        <v>924.24376298310494</v>
      </c>
      <c r="N62" s="107">
        <v>0.22924035235363238</v>
      </c>
      <c r="O62" s="107">
        <v>0.5051522005538267</v>
      </c>
      <c r="P62" s="107">
        <v>-0.50065474499881857</v>
      </c>
    </row>
    <row r="63" spans="3:19" x14ac:dyDescent="0.35">
      <c r="C63" s="117" t="s">
        <v>154</v>
      </c>
      <c r="D63" s="116">
        <v>506.44474370321637</v>
      </c>
      <c r="E63" s="116">
        <v>538.19899999999996</v>
      </c>
      <c r="F63" s="116">
        <v>536.1355393560749</v>
      </c>
      <c r="G63" s="116">
        <v>538.04479097123067</v>
      </c>
      <c r="H63" s="116">
        <v>558.54579920431956</v>
      </c>
      <c r="I63" s="116">
        <v>534.13410953044036</v>
      </c>
      <c r="J63" s="116">
        <v>482.14605320233511</v>
      </c>
      <c r="K63" s="116">
        <v>440.19539271162489</v>
      </c>
      <c r="L63" s="116">
        <v>405.86423612778395</v>
      </c>
      <c r="M63" s="116">
        <v>426.16406332590918</v>
      </c>
      <c r="N63" s="116">
        <v>-2.8656485001499199E-3</v>
      </c>
      <c r="O63" s="116">
        <v>-7.2922023134358582E-2</v>
      </c>
      <c r="P63" s="116">
        <v>-1.122762203843386</v>
      </c>
    </row>
    <row r="64" spans="3:19" x14ac:dyDescent="0.35">
      <c r="C64" s="117" t="s">
        <v>155</v>
      </c>
      <c r="D64" s="116">
        <v>551.15025629678371</v>
      </c>
      <c r="E64" s="116">
        <v>411.43099999999993</v>
      </c>
      <c r="F64" s="116">
        <v>446.61644672972704</v>
      </c>
      <c r="G64" s="116">
        <v>433.58050755907379</v>
      </c>
      <c r="H64" s="116">
        <v>489.8651020059558</v>
      </c>
      <c r="I64" s="116">
        <v>487.70393958043383</v>
      </c>
      <c r="J64" s="116">
        <v>453.94107664411854</v>
      </c>
      <c r="K64" s="116">
        <v>458.14385648387588</v>
      </c>
      <c r="L64" s="116">
        <v>493.93395115161894</v>
      </c>
      <c r="M64" s="116">
        <v>498.07969965719576</v>
      </c>
      <c r="N64" s="116">
        <v>0.52573885579567659</v>
      </c>
      <c r="O64" s="116">
        <v>1.1832562026645288</v>
      </c>
      <c r="P64" s="116">
        <v>0.1053132311399807</v>
      </c>
    </row>
    <row r="65" spans="3:16" x14ac:dyDescent="0.35">
      <c r="C65" s="106" t="s">
        <v>156</v>
      </c>
      <c r="D65" s="107">
        <v>1506.5909999999999</v>
      </c>
      <c r="E65" s="107">
        <v>1593.2149999999999</v>
      </c>
      <c r="F65" s="107">
        <v>1359.1310000000001</v>
      </c>
      <c r="G65" s="107">
        <v>1463.2655026893658</v>
      </c>
      <c r="H65" s="107">
        <v>1443.4106919058929</v>
      </c>
      <c r="I65" s="107">
        <v>1401.6565676060943</v>
      </c>
      <c r="J65" s="107">
        <v>1302.1385030729459</v>
      </c>
      <c r="K65" s="107">
        <v>1249.1541324052571</v>
      </c>
      <c r="L65" s="107">
        <v>1197.7181250525819</v>
      </c>
      <c r="M65" s="107">
        <v>1159.7473775800886</v>
      </c>
      <c r="N65" s="107">
        <v>-0.84722468565912035</v>
      </c>
      <c r="O65" s="107">
        <v>-0.429233987666644</v>
      </c>
      <c r="P65" s="107">
        <v>-0.942790578371</v>
      </c>
    </row>
    <row r="66" spans="3:16" x14ac:dyDescent="0.35">
      <c r="C66" s="106" t="s">
        <v>157</v>
      </c>
      <c r="D66" s="107">
        <v>671.79199999999992</v>
      </c>
      <c r="E66" s="107">
        <v>717.3610000000001</v>
      </c>
      <c r="F66" s="107">
        <v>681.9079999999999</v>
      </c>
      <c r="G66" s="107">
        <v>679.09726943885255</v>
      </c>
      <c r="H66" s="107">
        <v>659.05386335427909</v>
      </c>
      <c r="I66" s="107">
        <v>554.6634537070405</v>
      </c>
      <c r="J66" s="107">
        <v>567.28960520350404</v>
      </c>
      <c r="K66" s="107">
        <v>568.13606645061486</v>
      </c>
      <c r="L66" s="107">
        <v>577.51504333483786</v>
      </c>
      <c r="M66" s="107">
        <v>583.46978348575362</v>
      </c>
      <c r="N66" s="107">
        <v>-0.54664870232801199</v>
      </c>
      <c r="O66" s="107">
        <v>-2.0036823590478425</v>
      </c>
      <c r="P66" s="107">
        <v>0.25347633614052345</v>
      </c>
    </row>
    <row r="67" spans="3:16" x14ac:dyDescent="0.35">
      <c r="C67" s="106" t="s">
        <v>158</v>
      </c>
      <c r="D67" s="107">
        <v>1386.4298564164499</v>
      </c>
      <c r="E67" s="107">
        <v>1497.0516611428193</v>
      </c>
      <c r="F67" s="107">
        <v>1752.7149443987678</v>
      </c>
      <c r="G67" s="107">
        <v>1713.695815737718</v>
      </c>
      <c r="H67" s="107">
        <v>1842.5806459332605</v>
      </c>
      <c r="I67" s="107">
        <v>1736.8340064432086</v>
      </c>
      <c r="J67" s="107">
        <v>1658.788330258004</v>
      </c>
      <c r="K67" s="107">
        <v>1631.1595870905294</v>
      </c>
      <c r="L67" s="107">
        <v>1583.6889623628933</v>
      </c>
      <c r="M67" s="107">
        <v>1553.1473593677533</v>
      </c>
      <c r="N67" s="107">
        <v>1.3607218799396747</v>
      </c>
      <c r="O67" s="107">
        <v>0.13420582857388563</v>
      </c>
      <c r="P67" s="107">
        <v>-0.5573435096733137</v>
      </c>
    </row>
    <row r="68" spans="3:16" x14ac:dyDescent="0.35">
      <c r="C68" s="105" t="s">
        <v>159</v>
      </c>
      <c r="D68" s="107"/>
      <c r="E68" s="107"/>
      <c r="F68" s="107"/>
      <c r="G68" s="107"/>
      <c r="H68" s="107"/>
      <c r="I68" s="107"/>
      <c r="J68" s="107"/>
      <c r="K68" s="107"/>
      <c r="L68" s="107"/>
      <c r="M68" s="107"/>
      <c r="N68" s="107"/>
      <c r="O68" s="107"/>
      <c r="P68" s="107"/>
    </row>
    <row r="69" spans="3:16" x14ac:dyDescent="0.35">
      <c r="C69" s="106" t="s">
        <v>160</v>
      </c>
      <c r="D69" s="107">
        <v>173.85199999999998</v>
      </c>
      <c r="E69" s="107">
        <v>199.20199999999997</v>
      </c>
      <c r="F69" s="107">
        <v>171.00899999999996</v>
      </c>
      <c r="G69" s="107">
        <v>177.31249568428461</v>
      </c>
      <c r="H69" s="107">
        <v>154.22103187628608</v>
      </c>
      <c r="I69" s="107">
        <v>108.05724280840788</v>
      </c>
      <c r="J69" s="107">
        <v>57.808777420109998</v>
      </c>
      <c r="K69" s="107">
        <v>26.857950604749991</v>
      </c>
      <c r="L69" s="107">
        <v>10.752275322369549</v>
      </c>
      <c r="M69" s="107">
        <v>7.4570043096667575</v>
      </c>
      <c r="N69" s="107">
        <v>-1.1573080396775404</v>
      </c>
      <c r="O69" s="107">
        <v>-4.8318879302078681</v>
      </c>
      <c r="P69" s="107">
        <v>-12.512596878214355</v>
      </c>
    </row>
    <row r="70" spans="3:16" x14ac:dyDescent="0.35">
      <c r="C70" s="106" t="s">
        <v>161</v>
      </c>
      <c r="D70" s="107">
        <v>1570.2498564233013</v>
      </c>
      <c r="E70" s="107">
        <v>1563.8263788118968</v>
      </c>
      <c r="F70" s="107">
        <v>1787.9145369327466</v>
      </c>
      <c r="G70" s="107">
        <v>1740.100039633923</v>
      </c>
      <c r="H70" s="107">
        <v>1832.6334366611582</v>
      </c>
      <c r="I70" s="107">
        <v>1627.4046978964539</v>
      </c>
      <c r="J70" s="107">
        <v>1503.8368625599019</v>
      </c>
      <c r="K70" s="107">
        <v>1445.7837577125299</v>
      </c>
      <c r="L70" s="107">
        <v>1351.0342282848251</v>
      </c>
      <c r="M70" s="107">
        <v>1288.1469614046148</v>
      </c>
      <c r="N70" s="107">
        <v>1.0737940334363261</v>
      </c>
      <c r="O70" s="107">
        <v>-0.66732413277491576</v>
      </c>
      <c r="P70" s="107">
        <v>-1.1621038711692955</v>
      </c>
    </row>
    <row r="71" spans="3:16" x14ac:dyDescent="0.35">
      <c r="C71" s="106" t="s">
        <v>162</v>
      </c>
      <c r="D71" s="107">
        <v>589.12099999999987</v>
      </c>
      <c r="E71" s="107">
        <v>618.83098901114852</v>
      </c>
      <c r="F71" s="107">
        <v>519.01138789982349</v>
      </c>
      <c r="G71" s="107">
        <v>566.30394120618985</v>
      </c>
      <c r="H71" s="107">
        <v>539.28423180848222</v>
      </c>
      <c r="I71" s="107">
        <v>411.59532992576021</v>
      </c>
      <c r="J71" s="107">
        <v>369.19619060591862</v>
      </c>
      <c r="K71" s="107">
        <v>343.02388985596764</v>
      </c>
      <c r="L71" s="107">
        <v>331.68174453296058</v>
      </c>
      <c r="M71" s="107">
        <v>341.27536649618577</v>
      </c>
      <c r="N71" s="107">
        <v>-0.88309028850197535</v>
      </c>
      <c r="O71" s="107">
        <v>-3.1405306440248859</v>
      </c>
      <c r="P71" s="107">
        <v>-0.93238101924143502</v>
      </c>
    </row>
    <row r="72" spans="3:16" x14ac:dyDescent="0.35">
      <c r="C72" s="106" t="s">
        <v>163</v>
      </c>
      <c r="D72" s="107">
        <v>685.8979999997739</v>
      </c>
      <c r="E72" s="107">
        <v>716.42304412395094</v>
      </c>
      <c r="F72" s="107">
        <v>803.26899841892089</v>
      </c>
      <c r="G72" s="107">
        <v>834.92823322904371</v>
      </c>
      <c r="H72" s="107">
        <v>874.42396810517334</v>
      </c>
      <c r="I72" s="107">
        <v>879.7999490785669</v>
      </c>
      <c r="J72" s="107">
        <v>918.6191172861204</v>
      </c>
      <c r="K72" s="107">
        <v>948.49788872283318</v>
      </c>
      <c r="L72" s="107">
        <v>1015.773287517057</v>
      </c>
      <c r="M72" s="107">
        <v>1046.1343915859084</v>
      </c>
      <c r="N72" s="107">
        <v>1.5425253452873156</v>
      </c>
      <c r="O72" s="107">
        <v>0.52486037243342221</v>
      </c>
      <c r="P72" s="107">
        <v>0.86957183399636317</v>
      </c>
    </row>
    <row r="73" spans="3:16" x14ac:dyDescent="0.35">
      <c r="C73" s="106" t="s">
        <v>164</v>
      </c>
      <c r="D73" s="107">
        <v>905.22900000000004</v>
      </c>
      <c r="E73" s="107">
        <v>921.51699999999994</v>
      </c>
      <c r="F73" s="107">
        <v>798.39000000000055</v>
      </c>
      <c r="G73" s="107">
        <v>793.85001331328624</v>
      </c>
      <c r="H73" s="107">
        <v>804.66946625505182</v>
      </c>
      <c r="I73" s="107">
        <v>864.53748021179945</v>
      </c>
      <c r="J73" s="107">
        <v>832.09753948465197</v>
      </c>
      <c r="K73" s="107">
        <v>798.72287092254089</v>
      </c>
      <c r="L73" s="107">
        <v>768.78046656788138</v>
      </c>
      <c r="M73" s="107">
        <v>752.58356955533282</v>
      </c>
      <c r="N73" s="107">
        <v>-1.4802025024345578</v>
      </c>
      <c r="O73" s="107">
        <v>0.85664957792745966</v>
      </c>
      <c r="P73" s="107">
        <v>-0.69101450192282643</v>
      </c>
    </row>
    <row r="74" spans="3:16" x14ac:dyDescent="0.35">
      <c r="C74" s="106" t="s">
        <v>165</v>
      </c>
      <c r="D74" s="107">
        <v>698.05799999337478</v>
      </c>
      <c r="E74" s="107">
        <v>737.45824919582321</v>
      </c>
      <c r="F74" s="107">
        <v>696.91200723307804</v>
      </c>
      <c r="G74" s="107">
        <v>715.18767374060724</v>
      </c>
      <c r="H74" s="107">
        <v>788.20937617698166</v>
      </c>
      <c r="I74" s="107">
        <v>823.50999487916431</v>
      </c>
      <c r="J74" s="107">
        <v>780.74696870589264</v>
      </c>
      <c r="K74" s="107">
        <v>776.14894326204251</v>
      </c>
      <c r="L74" s="107">
        <v>767.88164619692031</v>
      </c>
      <c r="M74" s="107">
        <v>768.22532109187989</v>
      </c>
      <c r="N74" s="107">
        <v>-0.30617518827495971</v>
      </c>
      <c r="O74" s="107">
        <v>1.4202987210886864</v>
      </c>
      <c r="P74" s="107">
        <v>-0.34686009399997886</v>
      </c>
    </row>
    <row r="75" spans="3:16" x14ac:dyDescent="0.35">
      <c r="C75" s="117" t="s">
        <v>166</v>
      </c>
      <c r="D75" s="116">
        <v>698.05799999337478</v>
      </c>
      <c r="E75" s="116">
        <v>737.45824919582321</v>
      </c>
      <c r="F75" s="116">
        <v>696.91200723307804</v>
      </c>
      <c r="G75" s="116">
        <v>695.73171736433653</v>
      </c>
      <c r="H75" s="116">
        <v>771.28363682817371</v>
      </c>
      <c r="I75" s="116">
        <v>805.59226359562717</v>
      </c>
      <c r="J75" s="116">
        <v>768.29415886558934</v>
      </c>
      <c r="K75" s="116">
        <v>762.27373073935928</v>
      </c>
      <c r="L75" s="116">
        <v>753.42160964213372</v>
      </c>
      <c r="M75" s="116">
        <v>753.14136622553679</v>
      </c>
      <c r="N75" s="116">
        <v>-0.58076055679698868</v>
      </c>
      <c r="O75" s="116">
        <v>1.4769366509935544</v>
      </c>
      <c r="P75" s="116">
        <v>-0.3360580095088328</v>
      </c>
    </row>
    <row r="76" spans="3:16" x14ac:dyDescent="0.35">
      <c r="C76" s="117" t="s">
        <v>167</v>
      </c>
      <c r="D76" s="116">
        <v>0</v>
      </c>
      <c r="E76" s="116">
        <v>0</v>
      </c>
      <c r="F76" s="116">
        <v>0</v>
      </c>
      <c r="G76" s="116">
        <v>4.9999848987309234E-2</v>
      </c>
      <c r="H76" s="116">
        <v>0.79196105299525388</v>
      </c>
      <c r="I76" s="116">
        <v>1.4600547638998365</v>
      </c>
      <c r="J76" s="116">
        <v>2.3524467133532845</v>
      </c>
      <c r="K76" s="116">
        <v>3.9653597424416187</v>
      </c>
      <c r="L76" s="116">
        <v>5.3841157935354964</v>
      </c>
      <c r="M76" s="116">
        <v>6.2097280031634767</v>
      </c>
      <c r="N76" s="116" t="s">
        <v>168</v>
      </c>
      <c r="O76" s="116">
        <v>40.132879230371742</v>
      </c>
      <c r="P76" s="116">
        <v>7.5066110181335688</v>
      </c>
    </row>
    <row r="77" spans="3:16" x14ac:dyDescent="0.35">
      <c r="C77" s="117" t="s">
        <v>169</v>
      </c>
      <c r="D77" s="116">
        <v>0</v>
      </c>
      <c r="E77" s="116">
        <v>0</v>
      </c>
      <c r="F77" s="116">
        <v>0</v>
      </c>
      <c r="G77" s="116">
        <v>19.405956527283358</v>
      </c>
      <c r="H77" s="116">
        <v>16.133778295812736</v>
      </c>
      <c r="I77" s="116">
        <v>16.4576765196373</v>
      </c>
      <c r="J77" s="116">
        <v>10.10036312695005</v>
      </c>
      <c r="K77" s="116">
        <v>9.9098527802416072</v>
      </c>
      <c r="L77" s="116">
        <v>9.0759207612511545</v>
      </c>
      <c r="M77" s="116">
        <v>8.8742268631796293</v>
      </c>
      <c r="N77" s="116" t="s">
        <v>168</v>
      </c>
      <c r="O77" s="116">
        <v>-1.6343770302900795</v>
      </c>
      <c r="P77" s="116">
        <v>-3.0410061253741238</v>
      </c>
    </row>
    <row r="78" spans="3:16" x14ac:dyDescent="0.35">
      <c r="C78" s="106" t="s">
        <v>170</v>
      </c>
      <c r="D78" s="107">
        <v>0</v>
      </c>
      <c r="E78" s="107">
        <v>0</v>
      </c>
      <c r="F78" s="107">
        <v>0</v>
      </c>
      <c r="G78" s="107">
        <v>1.4895889060488599E-3</v>
      </c>
      <c r="H78" s="107">
        <v>1.4591520574031361E-2</v>
      </c>
      <c r="I78" s="107">
        <v>8.7382067064824862E-2</v>
      </c>
      <c r="J78" s="107">
        <v>1.9981123183120124</v>
      </c>
      <c r="K78" s="107">
        <v>7.7537340612380952</v>
      </c>
      <c r="L78" s="107">
        <v>12.816669607702122</v>
      </c>
      <c r="M78" s="107">
        <v>16.785668973112383</v>
      </c>
      <c r="N78" s="107" t="s">
        <v>168</v>
      </c>
      <c r="O78" s="107">
        <v>50.257302704636331</v>
      </c>
      <c r="P78" s="107">
        <v>30.069603696811352</v>
      </c>
    </row>
    <row r="79" spans="3:16" x14ac:dyDescent="0.35">
      <c r="C79" s="106" t="s">
        <v>171</v>
      </c>
      <c r="D79" s="107">
        <v>0</v>
      </c>
      <c r="E79" s="107">
        <v>0</v>
      </c>
      <c r="F79" s="107">
        <v>0</v>
      </c>
      <c r="G79" s="107">
        <v>0</v>
      </c>
      <c r="H79" s="107">
        <v>0</v>
      </c>
      <c r="I79" s="107">
        <v>0</v>
      </c>
      <c r="J79" s="107">
        <v>0</v>
      </c>
      <c r="K79" s="107">
        <v>0</v>
      </c>
      <c r="L79" s="107">
        <v>0</v>
      </c>
      <c r="M79" s="107">
        <v>0</v>
      </c>
      <c r="N79" s="107" t="s">
        <v>168</v>
      </c>
      <c r="O79" s="107" t="s">
        <v>168</v>
      </c>
      <c r="P79" s="107" t="s">
        <v>168</v>
      </c>
    </row>
    <row r="82" spans="3:16" x14ac:dyDescent="0.35">
      <c r="C82" s="106" t="s">
        <v>160</v>
      </c>
      <c r="D82" s="109">
        <f>D69/D$60</f>
        <v>3.7610701045921943E-2</v>
      </c>
      <c r="E82" s="109">
        <f t="shared" ref="E82:M82" si="4">E69/E$60</f>
        <v>4.1873283767469162E-2</v>
      </c>
      <c r="F82" s="109">
        <f t="shared" si="4"/>
        <v>3.5802111938894071E-2</v>
      </c>
      <c r="G82" s="109">
        <f t="shared" si="4"/>
        <v>3.6728273817580967E-2</v>
      </c>
      <c r="H82" s="109">
        <f t="shared" si="4"/>
        <v>3.0884627543245738E-2</v>
      </c>
      <c r="I82" s="109">
        <f t="shared" si="4"/>
        <v>2.2917799446272744E-2</v>
      </c>
      <c r="J82" s="109">
        <f t="shared" si="4"/>
        <v>1.2949114354487277E-2</v>
      </c>
      <c r="K82" s="109">
        <f t="shared" si="4"/>
        <v>6.1788024188924552E-3</v>
      </c>
      <c r="L82" s="109">
        <f t="shared" si="4"/>
        <v>2.5247667185019696E-3</v>
      </c>
      <c r="M82" s="109">
        <f t="shared" si="4"/>
        <v>1.7668079596408562E-3</v>
      </c>
      <c r="N82" s="109"/>
      <c r="O82" s="109"/>
      <c r="P82" s="109"/>
    </row>
    <row r="83" spans="3:16" x14ac:dyDescent="0.35">
      <c r="C83" s="106" t="s">
        <v>161</v>
      </c>
      <c r="D83" s="109">
        <f t="shared" ref="D83:M92" si="5">D70/D$60</f>
        <v>0.33970387408450087</v>
      </c>
      <c r="E83" s="109">
        <f t="shared" si="5"/>
        <v>0.32872433872674112</v>
      </c>
      <c r="F83" s="109">
        <f t="shared" si="5"/>
        <v>0.37431431321417102</v>
      </c>
      <c r="G83" s="109">
        <f t="shared" si="5"/>
        <v>0.36044200088106199</v>
      </c>
      <c r="H83" s="109">
        <f t="shared" si="5"/>
        <v>0.36700701860160145</v>
      </c>
      <c r="I83" s="109">
        <f t="shared" si="5"/>
        <v>0.34515534095610834</v>
      </c>
      <c r="J83" s="109">
        <f t="shared" si="5"/>
        <v>0.33685811001094307</v>
      </c>
      <c r="K83" s="109">
        <f t="shared" si="5"/>
        <v>0.33260959895315734</v>
      </c>
      <c r="L83" s="109">
        <f t="shared" si="5"/>
        <v>0.31723948214328312</v>
      </c>
      <c r="M83" s="109">
        <f t="shared" si="5"/>
        <v>0.30520410208782123</v>
      </c>
      <c r="N83" s="109"/>
      <c r="O83" s="109"/>
      <c r="P83" s="109"/>
    </row>
    <row r="84" spans="3:16" x14ac:dyDescent="0.35">
      <c r="C84" s="106" t="s">
        <v>162</v>
      </c>
      <c r="D84" s="109">
        <f t="shared" si="5"/>
        <v>0.12744894399186996</v>
      </c>
      <c r="E84" s="109">
        <f t="shared" si="5"/>
        <v>0.13008145303243651</v>
      </c>
      <c r="F84" s="109">
        <f t="shared" si="5"/>
        <v>0.10865921563865211</v>
      </c>
      <c r="G84" s="109">
        <f t="shared" si="5"/>
        <v>0.11730344292051878</v>
      </c>
      <c r="H84" s="109">
        <f t="shared" si="5"/>
        <v>0.10799819218374344</v>
      </c>
      <c r="I84" s="109">
        <f t="shared" si="5"/>
        <v>8.7295020482672056E-2</v>
      </c>
      <c r="J84" s="109">
        <f t="shared" si="5"/>
        <v>8.2699615953719038E-2</v>
      </c>
      <c r="K84" s="109">
        <f t="shared" si="5"/>
        <v>7.8914317461180744E-2</v>
      </c>
      <c r="L84" s="109">
        <f t="shared" si="5"/>
        <v>7.7882960082810079E-2</v>
      </c>
      <c r="M84" s="109">
        <f t="shared" si="5"/>
        <v>8.0859284628971489E-2</v>
      </c>
      <c r="N84" s="109"/>
      <c r="O84" s="109"/>
      <c r="P84" s="109"/>
    </row>
    <row r="85" spans="3:16" x14ac:dyDescent="0.35">
      <c r="C85" s="106" t="s">
        <v>163</v>
      </c>
      <c r="D85" s="109">
        <f t="shared" si="5"/>
        <v>0.14838543488707215</v>
      </c>
      <c r="E85" s="109">
        <f t="shared" si="5"/>
        <v>0.15059580438025866</v>
      </c>
      <c r="F85" s="109">
        <f t="shared" si="5"/>
        <v>0.16817083661349716</v>
      </c>
      <c r="G85" s="109">
        <f t="shared" si="5"/>
        <v>0.1729459204198846</v>
      </c>
      <c r="H85" s="109">
        <f t="shared" si="5"/>
        <v>0.17511397921056127</v>
      </c>
      <c r="I85" s="109">
        <f t="shared" si="5"/>
        <v>0.18659627306587809</v>
      </c>
      <c r="J85" s="109">
        <f t="shared" si="5"/>
        <v>0.20576985933312789</v>
      </c>
      <c r="K85" s="109">
        <f t="shared" si="5"/>
        <v>0.21820656145367062</v>
      </c>
      <c r="L85" s="109">
        <f t="shared" si="5"/>
        <v>0.2385160826872523</v>
      </c>
      <c r="M85" s="109">
        <f t="shared" si="5"/>
        <v>0.24786341715157542</v>
      </c>
      <c r="N85" s="109"/>
      <c r="O85" s="109"/>
      <c r="P85" s="109"/>
    </row>
    <row r="86" spans="3:16" x14ac:dyDescent="0.35">
      <c r="C86" s="106" t="s">
        <v>164</v>
      </c>
      <c r="D86" s="109">
        <f t="shared" si="5"/>
        <v>0.1958349475248998</v>
      </c>
      <c r="E86" s="109">
        <f t="shared" si="5"/>
        <v>0.19370760754182631</v>
      </c>
      <c r="F86" s="109">
        <f t="shared" si="5"/>
        <v>0.16714937898527951</v>
      </c>
      <c r="G86" s="109">
        <f t="shared" si="5"/>
        <v>0.16443703274571225</v>
      </c>
      <c r="H86" s="109">
        <f t="shared" si="5"/>
        <v>0.16114479625999048</v>
      </c>
      <c r="I86" s="109">
        <f t="shared" si="5"/>
        <v>0.18335926468538716</v>
      </c>
      <c r="J86" s="109">
        <f t="shared" si="5"/>
        <v>0.18638910341539183</v>
      </c>
      <c r="K86" s="109">
        <f t="shared" si="5"/>
        <v>0.18375008873566515</v>
      </c>
      <c r="L86" s="109">
        <f t="shared" si="5"/>
        <v>0.18051912526708386</v>
      </c>
      <c r="M86" s="109">
        <f t="shared" si="5"/>
        <v>0.17831163638481401</v>
      </c>
      <c r="N86" s="109"/>
      <c r="O86" s="109"/>
      <c r="P86" s="109"/>
    </row>
    <row r="87" spans="3:16" x14ac:dyDescent="0.35">
      <c r="C87" s="106" t="s">
        <v>165</v>
      </c>
      <c r="D87" s="109">
        <f t="shared" si="5"/>
        <v>0.15101609846573524</v>
      </c>
      <c r="E87" s="109">
        <f t="shared" si="5"/>
        <v>0.15501751255126806</v>
      </c>
      <c r="F87" s="109">
        <f t="shared" si="5"/>
        <v>0.14590414360950604</v>
      </c>
      <c r="G87" s="109">
        <f t="shared" si="5"/>
        <v>0.14814302066378229</v>
      </c>
      <c r="H87" s="109">
        <f t="shared" si="5"/>
        <v>0.15784846407232056</v>
      </c>
      <c r="I87" s="109">
        <f t="shared" si="5"/>
        <v>0.17465776855055271</v>
      </c>
      <c r="J87" s="109">
        <f t="shared" si="5"/>
        <v>0.17488662156302467</v>
      </c>
      <c r="K87" s="109">
        <f t="shared" si="5"/>
        <v>0.17855684667169608</v>
      </c>
      <c r="L87" s="109">
        <f t="shared" si="5"/>
        <v>0.18030807117011582</v>
      </c>
      <c r="M87" s="109">
        <f t="shared" si="5"/>
        <v>0.18201767837833555</v>
      </c>
      <c r="N87" s="109"/>
      <c r="O87" s="109"/>
      <c r="P87" s="109"/>
    </row>
    <row r="88" spans="3:16" x14ac:dyDescent="0.35">
      <c r="C88" s="117" t="s">
        <v>166</v>
      </c>
      <c r="D88" s="114">
        <f t="shared" si="5"/>
        <v>0.15101609846573524</v>
      </c>
      <c r="E88" s="114">
        <f t="shared" si="5"/>
        <v>0.15501751255126806</v>
      </c>
      <c r="F88" s="114">
        <f t="shared" si="5"/>
        <v>0.14590414360950604</v>
      </c>
      <c r="G88" s="114">
        <f t="shared" si="5"/>
        <v>0.14411293981464157</v>
      </c>
      <c r="H88" s="114">
        <f t="shared" si="5"/>
        <v>0.15445887998432581</v>
      </c>
      <c r="I88" s="114">
        <f t="shared" si="5"/>
        <v>0.17085760706747294</v>
      </c>
      <c r="J88" s="114">
        <f t="shared" si="5"/>
        <v>0.17209720331456546</v>
      </c>
      <c r="K88" s="114">
        <f t="shared" si="5"/>
        <v>0.17536478641514622</v>
      </c>
      <c r="L88" s="114">
        <f t="shared" si="5"/>
        <v>0.17691267643297648</v>
      </c>
      <c r="M88" s="114">
        <f t="shared" si="5"/>
        <v>0.17844379664057516</v>
      </c>
      <c r="N88" s="109"/>
      <c r="O88" s="109"/>
      <c r="P88" s="109"/>
    </row>
    <row r="89" spans="3:16" x14ac:dyDescent="0.35">
      <c r="C89" s="117" t="s">
        <v>167</v>
      </c>
      <c r="D89" s="114">
        <f t="shared" si="5"/>
        <v>0</v>
      </c>
      <c r="E89" s="114">
        <f t="shared" si="5"/>
        <v>0</v>
      </c>
      <c r="F89" s="114">
        <f t="shared" si="5"/>
        <v>0</v>
      </c>
      <c r="G89" s="114">
        <f t="shared" si="5"/>
        <v>1.0356902018419644E-5</v>
      </c>
      <c r="H89" s="114">
        <f t="shared" si="5"/>
        <v>1.5859978274646816E-4</v>
      </c>
      <c r="I89" s="114">
        <f t="shared" si="5"/>
        <v>3.0966218820667474E-4</v>
      </c>
      <c r="J89" s="114">
        <f t="shared" si="5"/>
        <v>5.2694595636704384E-4</v>
      </c>
      <c r="K89" s="114">
        <f t="shared" si="5"/>
        <v>9.1225033245998508E-4</v>
      </c>
      <c r="L89" s="114">
        <f t="shared" si="5"/>
        <v>1.2642567230210697E-3</v>
      </c>
      <c r="M89" s="114">
        <f t="shared" si="5"/>
        <v>1.47128745104403E-3</v>
      </c>
      <c r="N89" s="109"/>
      <c r="O89" s="109"/>
      <c r="P89" s="109"/>
    </row>
    <row r="90" spans="3:16" x14ac:dyDescent="0.35">
      <c r="C90" s="117" t="s">
        <v>169</v>
      </c>
      <c r="D90" s="114">
        <f t="shared" si="5"/>
        <v>0</v>
      </c>
      <c r="E90" s="114">
        <f t="shared" si="5"/>
        <v>0</v>
      </c>
      <c r="F90" s="114">
        <f t="shared" si="5"/>
        <v>0</v>
      </c>
      <c r="G90" s="114">
        <f t="shared" si="5"/>
        <v>4.0197239471222853E-3</v>
      </c>
      <c r="H90" s="114">
        <f t="shared" si="5"/>
        <v>3.2309843052483011E-3</v>
      </c>
      <c r="I90" s="114">
        <f t="shared" si="5"/>
        <v>3.4904992948731053E-3</v>
      </c>
      <c r="J90" s="114">
        <f t="shared" si="5"/>
        <v>2.2624722920921796E-3</v>
      </c>
      <c r="K90" s="114">
        <f t="shared" si="5"/>
        <v>2.2798099240898852E-3</v>
      </c>
      <c r="L90" s="114">
        <f t="shared" si="5"/>
        <v>2.1311380141183123E-3</v>
      </c>
      <c r="M90" s="114">
        <f t="shared" si="5"/>
        <v>2.1025942867163435E-3</v>
      </c>
      <c r="N90" s="109"/>
      <c r="O90" s="109"/>
      <c r="P90" s="109"/>
    </row>
    <row r="91" spans="3:16" x14ac:dyDescent="0.35">
      <c r="C91" s="106" t="s">
        <v>170</v>
      </c>
      <c r="D91" s="109">
        <f t="shared" si="5"/>
        <v>0</v>
      </c>
      <c r="E91" s="109">
        <f t="shared" si="5"/>
        <v>0</v>
      </c>
      <c r="F91" s="109">
        <f t="shared" si="5"/>
        <v>0</v>
      </c>
      <c r="G91" s="109">
        <f t="shared" si="5"/>
        <v>3.0855145885717976E-7</v>
      </c>
      <c r="H91" s="109">
        <f t="shared" si="5"/>
        <v>2.9221285367878602E-6</v>
      </c>
      <c r="I91" s="109">
        <f t="shared" si="5"/>
        <v>1.8532813128900131E-5</v>
      </c>
      <c r="J91" s="109">
        <f t="shared" si="5"/>
        <v>4.4757536930596273E-4</v>
      </c>
      <c r="K91" s="109">
        <f t="shared" si="5"/>
        <v>1.7837843057375274E-3</v>
      </c>
      <c r="L91" s="109">
        <f t="shared" si="5"/>
        <v>3.0095119309529387E-3</v>
      </c>
      <c r="M91" s="109">
        <f t="shared" si="5"/>
        <v>3.9770734088414176E-3</v>
      </c>
      <c r="N91" s="109"/>
      <c r="O91" s="109"/>
      <c r="P91" s="109"/>
    </row>
    <row r="92" spans="3:16" x14ac:dyDescent="0.35">
      <c r="C92" s="106" t="s">
        <v>171</v>
      </c>
      <c r="D92" s="109">
        <f t="shared" si="5"/>
        <v>0</v>
      </c>
      <c r="E92" s="109">
        <f t="shared" si="5"/>
        <v>0</v>
      </c>
      <c r="F92" s="109">
        <f t="shared" si="5"/>
        <v>0</v>
      </c>
      <c r="G92" s="109">
        <f t="shared" si="5"/>
        <v>0</v>
      </c>
      <c r="H92" s="109">
        <f t="shared" si="5"/>
        <v>0</v>
      </c>
      <c r="I92" s="109">
        <f t="shared" si="5"/>
        <v>0</v>
      </c>
      <c r="J92" s="109">
        <f t="shared" si="5"/>
        <v>0</v>
      </c>
      <c r="K92" s="109">
        <f t="shared" si="5"/>
        <v>0</v>
      </c>
      <c r="L92" s="109">
        <f t="shared" si="5"/>
        <v>0</v>
      </c>
      <c r="M92" s="109">
        <f t="shared" si="5"/>
        <v>0</v>
      </c>
      <c r="N92" s="109"/>
      <c r="O92" s="109"/>
      <c r="P92" s="109"/>
    </row>
    <row r="93" spans="3:16" x14ac:dyDescent="0.35">
      <c r="C93" s="106"/>
      <c r="D93" s="108"/>
      <c r="E93" s="108"/>
      <c r="F93" s="108"/>
      <c r="G93" s="108"/>
      <c r="H93" s="108"/>
      <c r="I93" s="108"/>
      <c r="J93" s="108"/>
      <c r="K93" s="108"/>
      <c r="L93" s="108"/>
      <c r="M93" s="108"/>
      <c r="N93" s="108"/>
      <c r="O93" s="108"/>
      <c r="P93" s="108"/>
    </row>
    <row r="95" spans="3:16" x14ac:dyDescent="0.35">
      <c r="C95" s="106" t="s">
        <v>160</v>
      </c>
      <c r="D95" s="110">
        <f>D82*D$65</f>
        <v>56.663943699476583</v>
      </c>
      <c r="E95" s="110">
        <f t="shared" ref="E95:M95" si="6">E82*E$65</f>
        <v>66.713143797588373</v>
      </c>
      <c r="F95" s="110">
        <f t="shared" si="6"/>
        <v>48.65976020162104</v>
      </c>
      <c r="G95" s="110">
        <f t="shared" si="6"/>
        <v>53.743216050595287</v>
      </c>
      <c r="H95" s="110">
        <f t="shared" si="6"/>
        <v>44.579201611452127</v>
      </c>
      <c r="I95" s="110">
        <f t="shared" si="6"/>
        <v>32.122884108947503</v>
      </c>
      <c r="J95" s="110">
        <f t="shared" si="6"/>
        <v>16.861540381672459</v>
      </c>
      <c r="K95" s="110">
        <f t="shared" si="6"/>
        <v>7.7182765748751088</v>
      </c>
      <c r="L95" s="110">
        <f t="shared" si="6"/>
        <v>3.0239588602793388</v>
      </c>
      <c r="M95" s="110">
        <f t="shared" si="6"/>
        <v>2.0490508978811097</v>
      </c>
      <c r="N95" s="111"/>
      <c r="O95" s="111"/>
      <c r="P95" s="111"/>
    </row>
    <row r="96" spans="3:16" x14ac:dyDescent="0.35">
      <c r="C96" s="106" t="s">
        <v>161</v>
      </c>
      <c r="D96" s="110">
        <f t="shared" ref="D96:M105" si="7">D83*D$65</f>
        <v>511.79479936084221</v>
      </c>
      <c r="E96" s="110">
        <f t="shared" si="7"/>
        <v>523.72854732452481</v>
      </c>
      <c r="F96" s="110">
        <f t="shared" si="7"/>
        <v>508.74218683308953</v>
      </c>
      <c r="G96" s="110">
        <f t="shared" si="7"/>
        <v>527.42234560958798</v>
      </c>
      <c r="H96" s="110">
        <f t="shared" si="7"/>
        <v>529.74185465405651</v>
      </c>
      <c r="I96" s="110">
        <f t="shared" si="7"/>
        <v>483.78925049545001</v>
      </c>
      <c r="J96" s="110">
        <f t="shared" si="7"/>
        <v>438.63591511763116</v>
      </c>
      <c r="K96" s="110">
        <f t="shared" si="7"/>
        <v>415.48065500999178</v>
      </c>
      <c r="L96" s="110">
        <f t="shared" si="7"/>
        <v>379.96347774530511</v>
      </c>
      <c r="M96" s="110">
        <f t="shared" si="7"/>
        <v>353.9596570230363</v>
      </c>
      <c r="N96" s="111"/>
      <c r="O96" s="111"/>
      <c r="P96" s="111"/>
    </row>
    <row r="97" spans="3:19" x14ac:dyDescent="0.35">
      <c r="C97" s="106" t="s">
        <v>162</v>
      </c>
      <c r="D97" s="112">
        <f t="shared" si="7"/>
        <v>192.01343197765533</v>
      </c>
      <c r="E97" s="112">
        <f t="shared" si="7"/>
        <v>207.24772219307332</v>
      </c>
      <c r="F97" s="112">
        <f t="shared" si="7"/>
        <v>147.68210841017688</v>
      </c>
      <c r="G97" s="112">
        <f t="shared" si="7"/>
        <v>171.64608137228623</v>
      </c>
      <c r="H97" s="112">
        <f t="shared" si="7"/>
        <v>155.88574530452271</v>
      </c>
      <c r="I97" s="112">
        <f t="shared" si="7"/>
        <v>122.35763877884581</v>
      </c>
      <c r="J97" s="112">
        <f t="shared" si="7"/>
        <v>107.68635412268323</v>
      </c>
      <c r="K97" s="112">
        <f t="shared" si="7"/>
        <v>98.576145762574257</v>
      </c>
      <c r="L97" s="112">
        <f t="shared" si="7"/>
        <v>93.281832923928363</v>
      </c>
      <c r="M97" s="112">
        <f t="shared" si="7"/>
        <v>93.776343301451647</v>
      </c>
      <c r="N97" s="113"/>
      <c r="O97" s="113"/>
      <c r="P97" s="113"/>
    </row>
    <row r="98" spans="3:19" x14ac:dyDescent="0.35">
      <c r="C98" s="106" t="s">
        <v>163</v>
      </c>
      <c r="D98" s="110">
        <f t="shared" si="7"/>
        <v>223.55616073194889</v>
      </c>
      <c r="E98" s="110">
        <f t="shared" si="7"/>
        <v>239.9314944756938</v>
      </c>
      <c r="F98" s="110">
        <f t="shared" si="7"/>
        <v>228.56619733733902</v>
      </c>
      <c r="G98" s="110">
        <f>G85*G$65</f>
        <v>253.0657991812775</v>
      </c>
      <c r="H98" s="110">
        <f t="shared" si="7"/>
        <v>252.76138989471039</v>
      </c>
      <c r="I98" s="110">
        <f t="shared" si="7"/>
        <v>261.54389163360821</v>
      </c>
      <c r="J98" s="110">
        <f t="shared" si="7"/>
        <v>267.94085660956978</v>
      </c>
      <c r="K98" s="110">
        <f t="shared" si="7"/>
        <v>272.57362795779432</v>
      </c>
      <c r="L98" s="110">
        <f t="shared" si="7"/>
        <v>285.67503535106243</v>
      </c>
      <c r="M98" s="110">
        <f t="shared" si="7"/>
        <v>287.45894803957913</v>
      </c>
      <c r="N98" s="111"/>
      <c r="O98" s="111"/>
      <c r="P98" s="111"/>
    </row>
    <row r="99" spans="3:19" x14ac:dyDescent="0.35">
      <c r="C99" s="106" t="s">
        <v>164</v>
      </c>
      <c r="D99" s="110">
        <f t="shared" si="7"/>
        <v>295.04316942648632</v>
      </c>
      <c r="E99" s="110">
        <f t="shared" si="7"/>
        <v>308.61786594975081</v>
      </c>
      <c r="F99" s="110">
        <f t="shared" si="7"/>
        <v>227.17790260964193</v>
      </c>
      <c r="G99" s="110">
        <f t="shared" si="7"/>
        <v>240.61503738140235</v>
      </c>
      <c r="H99" s="110">
        <f t="shared" si="7"/>
        <v>232.59812186666701</v>
      </c>
      <c r="I99" s="110">
        <f>I86*I$65</f>
        <v>257.00671757769709</v>
      </c>
      <c r="J99" s="110">
        <f t="shared" si="7"/>
        <v>242.70442811042685</v>
      </c>
      <c r="K99" s="110">
        <f t="shared" si="7"/>
        <v>229.53218267398879</v>
      </c>
      <c r="L99" s="110">
        <f t="shared" si="7"/>
        <v>216.21102825102383</v>
      </c>
      <c r="M99" s="110">
        <f t="shared" si="7"/>
        <v>206.79645268930236</v>
      </c>
      <c r="N99" s="111"/>
      <c r="O99" s="111"/>
      <c r="P99" s="111"/>
    </row>
    <row r="100" spans="3:19" x14ac:dyDescent="0.35">
      <c r="C100" s="106" t="s">
        <v>165</v>
      </c>
      <c r="D100" s="110">
        <f t="shared" si="7"/>
        <v>227.5194948035905</v>
      </c>
      <c r="E100" s="110">
        <f t="shared" si="7"/>
        <v>246.97622625936853</v>
      </c>
      <c r="F100" s="110">
        <f t="shared" si="7"/>
        <v>198.30284460813158</v>
      </c>
      <c r="G100" s="110">
        <f t="shared" si="7"/>
        <v>216.77257160151049</v>
      </c>
      <c r="H100" s="110">
        <f t="shared" si="7"/>
        <v>227.84016074291071</v>
      </c>
      <c r="I100" s="110">
        <f t="shared" si="7"/>
        <v>244.81020837230736</v>
      </c>
      <c r="J100" s="110">
        <f t="shared" si="7"/>
        <v>227.72660360956175</v>
      </c>
      <c r="K100" s="110">
        <f t="shared" si="7"/>
        <v>223.04502288920102</v>
      </c>
      <c r="L100" s="110">
        <f t="shared" si="7"/>
        <v>215.95824493371862</v>
      </c>
      <c r="M100" s="110">
        <f t="shared" si="7"/>
        <v>211.09452517249065</v>
      </c>
      <c r="N100" s="111"/>
      <c r="O100" s="111"/>
      <c r="P100" s="111"/>
    </row>
    <row r="101" spans="3:19" x14ac:dyDescent="0.35">
      <c r="C101" s="117" t="s">
        <v>166</v>
      </c>
      <c r="D101" s="115">
        <f t="shared" si="7"/>
        <v>227.5194948035905</v>
      </c>
      <c r="E101" s="115">
        <f t="shared" si="7"/>
        <v>246.97622625936853</v>
      </c>
      <c r="F101" s="115">
        <f t="shared" si="7"/>
        <v>198.30284460813158</v>
      </c>
      <c r="G101" s="115">
        <f t="shared" si="7"/>
        <v>210.87549332191381</v>
      </c>
      <c r="H101" s="115">
        <f t="shared" si="7"/>
        <v>222.94759882918498</v>
      </c>
      <c r="I101" s="115">
        <f t="shared" si="7"/>
        <v>239.48368707158488</v>
      </c>
      <c r="J101" s="115">
        <f t="shared" si="7"/>
        <v>224.09439470706869</v>
      </c>
      <c r="K101" s="115">
        <f t="shared" si="7"/>
        <v>219.05764762884519</v>
      </c>
      <c r="L101" s="115">
        <f t="shared" si="7"/>
        <v>211.89151911533867</v>
      </c>
      <c r="M101" s="115">
        <f t="shared" si="7"/>
        <v>206.94972519934166</v>
      </c>
      <c r="N101" s="111"/>
      <c r="O101" s="111"/>
      <c r="P101" s="111"/>
    </row>
    <row r="102" spans="3:19" x14ac:dyDescent="0.35">
      <c r="C102" s="117" t="s">
        <v>167</v>
      </c>
      <c r="D102" s="115">
        <f t="shared" si="7"/>
        <v>0</v>
      </c>
      <c r="E102" s="115">
        <f t="shared" si="7"/>
        <v>0</v>
      </c>
      <c r="F102" s="115">
        <f t="shared" si="7"/>
        <v>0</v>
      </c>
      <c r="G102" s="115">
        <f t="shared" si="7"/>
        <v>1.5154897438287327E-2</v>
      </c>
      <c r="H102" s="115">
        <f t="shared" si="7"/>
        <v>0.2289246221502039</v>
      </c>
      <c r="I102" s="115">
        <f t="shared" si="7"/>
        <v>0.43404003983916006</v>
      </c>
      <c r="J102" s="115">
        <f t="shared" si="7"/>
        <v>0.68615661882412438</v>
      </c>
      <c r="K102" s="115">
        <f t="shared" si="7"/>
        <v>1.1395412725804599</v>
      </c>
      <c r="L102" s="115">
        <f t="shared" si="7"/>
        <v>1.5142231918819169</v>
      </c>
      <c r="M102" s="115">
        <f t="shared" si="7"/>
        <v>1.7063217630148066</v>
      </c>
      <c r="N102" s="111"/>
      <c r="O102" s="111"/>
      <c r="P102" s="111"/>
    </row>
    <row r="103" spans="3:19" x14ac:dyDescent="0.35">
      <c r="C103" s="117" t="s">
        <v>169</v>
      </c>
      <c r="D103" s="115">
        <f t="shared" si="7"/>
        <v>0</v>
      </c>
      <c r="E103" s="115">
        <f t="shared" si="7"/>
        <v>0</v>
      </c>
      <c r="F103" s="115">
        <f t="shared" si="7"/>
        <v>0</v>
      </c>
      <c r="G103" s="115">
        <f t="shared" si="7"/>
        <v>5.881923382158373</v>
      </c>
      <c r="H103" s="115">
        <f t="shared" si="7"/>
        <v>4.6636372915755313</v>
      </c>
      <c r="I103" s="115">
        <f t="shared" si="7"/>
        <v>4.8924812608833292</v>
      </c>
      <c r="J103" s="115">
        <f t="shared" si="7"/>
        <v>2.9460522836689278</v>
      </c>
      <c r="K103" s="115">
        <f t="shared" si="7"/>
        <v>2.8478339877753953</v>
      </c>
      <c r="L103" s="115">
        <f t="shared" si="7"/>
        <v>2.5525026264980677</v>
      </c>
      <c r="M103" s="115">
        <f t="shared" si="7"/>
        <v>2.4384782101341562</v>
      </c>
      <c r="N103" s="111"/>
      <c r="O103" s="111"/>
      <c r="P103" s="111"/>
    </row>
    <row r="104" spans="3:19" x14ac:dyDescent="0.35">
      <c r="C104" s="106" t="s">
        <v>170</v>
      </c>
      <c r="D104" s="112">
        <f t="shared" si="7"/>
        <v>0</v>
      </c>
      <c r="E104" s="112">
        <f t="shared" si="7"/>
        <v>0</v>
      </c>
      <c r="F104" s="112">
        <f t="shared" si="7"/>
        <v>0</v>
      </c>
      <c r="G104" s="112">
        <f t="shared" si="7"/>
        <v>4.5149270555018832E-4</v>
      </c>
      <c r="H104" s="112">
        <f t="shared" si="7"/>
        <v>4.2178315731229198E-3</v>
      </c>
      <c r="I104" s="112">
        <f t="shared" si="7"/>
        <v>2.597663923833932E-2</v>
      </c>
      <c r="J104" s="112">
        <f t="shared" si="7"/>
        <v>0.58280512140038732</v>
      </c>
      <c r="K104" s="112">
        <f t="shared" si="7"/>
        <v>2.2282215368316747</v>
      </c>
      <c r="L104" s="112">
        <f t="shared" si="7"/>
        <v>3.604546987264329</v>
      </c>
      <c r="M104" s="112">
        <f t="shared" si="7"/>
        <v>4.6124004563473378</v>
      </c>
      <c r="N104" s="111"/>
      <c r="O104" s="111"/>
      <c r="P104" s="111"/>
    </row>
    <row r="105" spans="3:19" x14ac:dyDescent="0.35">
      <c r="C105" s="106" t="s">
        <v>171</v>
      </c>
      <c r="D105" s="110">
        <f t="shared" si="7"/>
        <v>0</v>
      </c>
      <c r="E105" s="110">
        <f t="shared" si="7"/>
        <v>0</v>
      </c>
      <c r="F105" s="110">
        <f t="shared" si="7"/>
        <v>0</v>
      </c>
      <c r="G105" s="110">
        <f t="shared" si="7"/>
        <v>0</v>
      </c>
      <c r="H105" s="110">
        <f t="shared" si="7"/>
        <v>0</v>
      </c>
      <c r="I105" s="110">
        <f t="shared" si="7"/>
        <v>0</v>
      </c>
      <c r="J105" s="110">
        <f t="shared" si="7"/>
        <v>0</v>
      </c>
      <c r="K105" s="110">
        <f t="shared" si="7"/>
        <v>0</v>
      </c>
      <c r="L105" s="110">
        <f t="shared" si="7"/>
        <v>0</v>
      </c>
      <c r="M105" s="110">
        <f t="shared" si="7"/>
        <v>0</v>
      </c>
      <c r="N105" s="111"/>
      <c r="O105" s="111"/>
      <c r="P105" s="111"/>
    </row>
    <row r="108" spans="3:19" ht="15" thickBot="1" x14ac:dyDescent="0.4">
      <c r="C108" s="1" t="s">
        <v>68</v>
      </c>
      <c r="D108" s="1"/>
      <c r="E108" s="1"/>
      <c r="F108" s="1"/>
      <c r="G108" s="1"/>
      <c r="H108" s="1"/>
      <c r="I108" s="1"/>
      <c r="J108" s="1"/>
      <c r="K108" s="1"/>
      <c r="L108" s="1"/>
      <c r="M108" s="1"/>
      <c r="N108" s="1"/>
      <c r="O108" s="1"/>
      <c r="P108" s="1"/>
      <c r="Q108" s="1"/>
      <c r="R108" s="1"/>
      <c r="S108" s="1"/>
    </row>
    <row r="110" spans="3:19" x14ac:dyDescent="0.35">
      <c r="C110" s="9"/>
      <c r="D110" s="9">
        <v>2005</v>
      </c>
      <c r="E110" s="9">
        <v>2010</v>
      </c>
      <c r="F110" s="9">
        <v>2015</v>
      </c>
      <c r="G110" s="9">
        <v>2020</v>
      </c>
      <c r="H110" s="9">
        <v>2025</v>
      </c>
      <c r="I110" s="9">
        <v>2030</v>
      </c>
      <c r="J110" s="9">
        <v>2035</v>
      </c>
      <c r="K110" s="9">
        <v>2040</v>
      </c>
      <c r="L110" s="9">
        <v>2045</v>
      </c>
      <c r="M110" s="9">
        <v>2050</v>
      </c>
      <c r="N110" s="9" t="s">
        <v>148</v>
      </c>
      <c r="O110" s="9" t="s">
        <v>149</v>
      </c>
      <c r="P110" s="9" t="s">
        <v>150</v>
      </c>
    </row>
    <row r="111" spans="3:19" x14ac:dyDescent="0.35">
      <c r="C111" s="68" t="s">
        <v>151</v>
      </c>
      <c r="D111" s="118">
        <v>3959.4389307153497</v>
      </c>
      <c r="E111" s="118">
        <v>4002.8046198491252</v>
      </c>
      <c r="F111" s="118">
        <v>3680.199699248361</v>
      </c>
      <c r="G111" s="118">
        <v>3829.9200363358718</v>
      </c>
      <c r="H111" s="118">
        <v>3793.6687456426171</v>
      </c>
      <c r="I111" s="118">
        <v>3587.2221464681343</v>
      </c>
      <c r="J111" s="118">
        <v>3474.7881159914805</v>
      </c>
      <c r="K111" s="118">
        <v>3312.299032077944</v>
      </c>
      <c r="L111" s="118">
        <v>3159.8201998197578</v>
      </c>
      <c r="M111" s="118">
        <v>3027.0273614128955</v>
      </c>
      <c r="N111" s="118">
        <v>-0.44054021873615179</v>
      </c>
      <c r="O111" s="118">
        <v>-0.65251975433960885</v>
      </c>
      <c r="P111" s="118">
        <v>-0.84539158959366922</v>
      </c>
    </row>
    <row r="112" spans="3:19" x14ac:dyDescent="0.35">
      <c r="C112" s="105" t="s">
        <v>152</v>
      </c>
      <c r="D112" s="107"/>
      <c r="E112" s="107"/>
      <c r="F112" s="107"/>
      <c r="G112" s="107"/>
      <c r="H112" s="107"/>
      <c r="I112" s="107"/>
      <c r="J112" s="107"/>
      <c r="K112" s="107"/>
      <c r="L112" s="107"/>
      <c r="M112" s="107"/>
      <c r="N112" s="107"/>
      <c r="O112" s="107"/>
      <c r="P112" s="107"/>
    </row>
    <row r="113" spans="3:16" x14ac:dyDescent="0.35">
      <c r="C113" s="106" t="s">
        <v>153</v>
      </c>
      <c r="D113" s="107">
        <v>698.62400000000002</v>
      </c>
      <c r="E113" s="107">
        <v>773.84999498968546</v>
      </c>
      <c r="F113" s="107">
        <v>787.78298821502585</v>
      </c>
      <c r="G113" s="107">
        <v>772.70076030520681</v>
      </c>
      <c r="H113" s="107">
        <v>816.25915815799374</v>
      </c>
      <c r="I113" s="107">
        <v>797.11470393369484</v>
      </c>
      <c r="J113" s="107">
        <v>799.6928573944939</v>
      </c>
      <c r="K113" s="107">
        <v>741.98391461989638</v>
      </c>
      <c r="L113" s="107">
        <v>695.80105769493684</v>
      </c>
      <c r="M113" s="107">
        <v>660.29948164299867</v>
      </c>
      <c r="N113" s="107">
        <v>-1.4860805533600807E-2</v>
      </c>
      <c r="O113" s="107">
        <v>0.31155160787523783</v>
      </c>
      <c r="P113" s="107">
        <v>-0.93710700616252973</v>
      </c>
    </row>
    <row r="114" spans="3:16" x14ac:dyDescent="0.35">
      <c r="C114" s="117" t="s">
        <v>154</v>
      </c>
      <c r="D114" s="116">
        <v>281.63400000000001</v>
      </c>
      <c r="E114" s="116">
        <v>304.91899498968547</v>
      </c>
      <c r="F114" s="116">
        <v>178.22068821423332</v>
      </c>
      <c r="G114" s="116">
        <v>161.33269565195701</v>
      </c>
      <c r="H114" s="116">
        <v>163.76952520449908</v>
      </c>
      <c r="I114" s="116">
        <v>142.52825806827127</v>
      </c>
      <c r="J114" s="116">
        <v>139.65011984762396</v>
      </c>
      <c r="K114" s="116">
        <v>124.82846916349645</v>
      </c>
      <c r="L114" s="116">
        <v>114.79968061912408</v>
      </c>
      <c r="M114" s="116">
        <v>109.87924877602836</v>
      </c>
      <c r="N114" s="116">
        <v>-6.1673911970104971</v>
      </c>
      <c r="O114" s="116">
        <v>-1.2316363337942837</v>
      </c>
      <c r="P114" s="116">
        <v>-1.292367563927721</v>
      </c>
    </row>
    <row r="115" spans="3:16" x14ac:dyDescent="0.35">
      <c r="C115" s="117" t="s">
        <v>155</v>
      </c>
      <c r="D115" s="116">
        <v>416.99</v>
      </c>
      <c r="E115" s="116">
        <v>468.93099999999998</v>
      </c>
      <c r="F115" s="116">
        <v>609.56230000079256</v>
      </c>
      <c r="G115" s="116">
        <v>611.3680646532498</v>
      </c>
      <c r="H115" s="116">
        <v>652.48963295349472</v>
      </c>
      <c r="I115" s="116">
        <v>654.58644586542357</v>
      </c>
      <c r="J115" s="116">
        <v>660.04273754686994</v>
      </c>
      <c r="K115" s="116">
        <v>617.15544545639989</v>
      </c>
      <c r="L115" s="116">
        <v>581.0013770758128</v>
      </c>
      <c r="M115" s="116">
        <v>550.42023286697031</v>
      </c>
      <c r="N115" s="116">
        <v>2.6879255457149087</v>
      </c>
      <c r="O115" s="116">
        <v>0.68538288066610775</v>
      </c>
      <c r="P115" s="116">
        <v>-0.86286382434082043</v>
      </c>
    </row>
    <row r="116" spans="3:16" x14ac:dyDescent="0.35">
      <c r="C116" s="106" t="s">
        <v>156</v>
      </c>
      <c r="D116" s="107">
        <v>1503.944</v>
      </c>
      <c r="E116" s="107">
        <v>1388.904</v>
      </c>
      <c r="F116" s="107">
        <v>1105.5819999999997</v>
      </c>
      <c r="G116" s="107">
        <v>1213.8946260957887</v>
      </c>
      <c r="H116" s="107">
        <v>986.77501625267632</v>
      </c>
      <c r="I116" s="107">
        <v>923.87854670599495</v>
      </c>
      <c r="J116" s="107">
        <v>877.59780370563374</v>
      </c>
      <c r="K116" s="107">
        <v>829.92586246880967</v>
      </c>
      <c r="L116" s="107">
        <v>786.73081915356704</v>
      </c>
      <c r="M116" s="107">
        <v>753.26780771803851</v>
      </c>
      <c r="N116" s="107">
        <v>-1.3377816557750277</v>
      </c>
      <c r="O116" s="107">
        <v>-2.6931554915762046</v>
      </c>
      <c r="P116" s="107">
        <v>-1.0156065358639554</v>
      </c>
    </row>
    <row r="117" spans="3:16" x14ac:dyDescent="0.35">
      <c r="C117" s="106" t="s">
        <v>157</v>
      </c>
      <c r="D117" s="107">
        <v>748.97199999999998</v>
      </c>
      <c r="E117" s="107">
        <v>756.03300000000002</v>
      </c>
      <c r="F117" s="107">
        <v>750.93400000002407</v>
      </c>
      <c r="G117" s="107">
        <v>719.9939079116167</v>
      </c>
      <c r="H117" s="107">
        <v>816.24917406797522</v>
      </c>
      <c r="I117" s="107">
        <v>787.94750605679485</v>
      </c>
      <c r="J117" s="107">
        <v>800.94139212280845</v>
      </c>
      <c r="K117" s="107">
        <v>794.60387692059908</v>
      </c>
      <c r="L117" s="107">
        <v>772.620149076968</v>
      </c>
      <c r="M117" s="107">
        <v>748.48229612326531</v>
      </c>
      <c r="N117" s="107">
        <v>-0.48723190844729425</v>
      </c>
      <c r="O117" s="107">
        <v>0.90596645902933925</v>
      </c>
      <c r="P117" s="107">
        <v>-0.25658984332888046</v>
      </c>
    </row>
    <row r="118" spans="3:16" x14ac:dyDescent="0.35">
      <c r="C118" s="106" t="s">
        <v>158</v>
      </c>
      <c r="D118" s="107">
        <v>1007.8989307153496</v>
      </c>
      <c r="E118" s="107">
        <v>1084.01762485944</v>
      </c>
      <c r="F118" s="107">
        <v>1035.9007110333105</v>
      </c>
      <c r="G118" s="107">
        <v>1123.33074202326</v>
      </c>
      <c r="H118" s="107">
        <v>1174.3853971639717</v>
      </c>
      <c r="I118" s="107">
        <v>1078.2813897716492</v>
      </c>
      <c r="J118" s="107">
        <v>996.55606276854428</v>
      </c>
      <c r="K118" s="107">
        <v>945.7853780686396</v>
      </c>
      <c r="L118" s="107">
        <v>904.66817389428616</v>
      </c>
      <c r="M118" s="107">
        <v>864.97777592859359</v>
      </c>
      <c r="N118" s="107">
        <v>0.35687515746691822</v>
      </c>
      <c r="O118" s="107">
        <v>-0.40846033214139155</v>
      </c>
      <c r="P118" s="107">
        <v>-1.0960487951487963</v>
      </c>
    </row>
    <row r="119" spans="3:16" x14ac:dyDescent="0.35">
      <c r="C119" s="105" t="s">
        <v>159</v>
      </c>
      <c r="D119" s="107"/>
      <c r="E119" s="107"/>
      <c r="F119" s="107"/>
      <c r="G119" s="107"/>
      <c r="H119" s="107"/>
      <c r="I119" s="107"/>
      <c r="J119" s="107"/>
      <c r="K119" s="107"/>
      <c r="L119" s="107"/>
      <c r="M119" s="107"/>
      <c r="N119" s="107"/>
      <c r="O119" s="107"/>
      <c r="P119" s="107"/>
    </row>
    <row r="120" spans="3:16" x14ac:dyDescent="0.35">
      <c r="C120" s="106" t="s">
        <v>160</v>
      </c>
      <c r="D120" s="107">
        <v>73.366</v>
      </c>
      <c r="E120" s="107">
        <v>94.072994989685455</v>
      </c>
      <c r="F120" s="107">
        <v>42.50000000000005</v>
      </c>
      <c r="G120" s="107">
        <v>31.75958820037409</v>
      </c>
      <c r="H120" s="107">
        <v>27.077546825266658</v>
      </c>
      <c r="I120" s="107">
        <v>21.46583672253562</v>
      </c>
      <c r="J120" s="107">
        <v>14.039611506962938</v>
      </c>
      <c r="K120" s="107">
        <v>7.8916356610406293</v>
      </c>
      <c r="L120" s="107">
        <v>4.6826110986300273</v>
      </c>
      <c r="M120" s="107">
        <v>3.2113655845934801</v>
      </c>
      <c r="N120" s="107">
        <v>-10.289972628395594</v>
      </c>
      <c r="O120" s="107">
        <v>-3.8415850556686393</v>
      </c>
      <c r="P120" s="107">
        <v>-9.061644486967424</v>
      </c>
    </row>
    <row r="121" spans="3:16" x14ac:dyDescent="0.35">
      <c r="C121" s="106" t="s">
        <v>161</v>
      </c>
      <c r="D121" s="107">
        <v>1264.307000834729</v>
      </c>
      <c r="E121" s="107">
        <v>1327.8050726625083</v>
      </c>
      <c r="F121" s="107">
        <v>1265.1533558925339</v>
      </c>
      <c r="G121" s="107">
        <v>1321.8801898638555</v>
      </c>
      <c r="H121" s="107">
        <v>1334.0452142828028</v>
      </c>
      <c r="I121" s="107">
        <v>1150.8804646893414</v>
      </c>
      <c r="J121" s="107">
        <v>1031.9165938263145</v>
      </c>
      <c r="K121" s="107">
        <v>938.21964075054802</v>
      </c>
      <c r="L121" s="107">
        <v>866.90778432468778</v>
      </c>
      <c r="M121" s="107">
        <v>807.83503387356802</v>
      </c>
      <c r="N121" s="107">
        <v>-4.4711484075743435E-2</v>
      </c>
      <c r="O121" s="107">
        <v>-1.3757275564747262</v>
      </c>
      <c r="P121" s="107">
        <v>-1.7540575107136913</v>
      </c>
    </row>
    <row r="122" spans="3:16" x14ac:dyDescent="0.35">
      <c r="C122" s="106" t="s">
        <v>162</v>
      </c>
      <c r="D122" s="107">
        <v>507.92292987624512</v>
      </c>
      <c r="E122" s="107">
        <v>498.25871556182449</v>
      </c>
      <c r="F122" s="107">
        <v>316.72163408647253</v>
      </c>
      <c r="G122" s="107">
        <v>293.60120118680447</v>
      </c>
      <c r="H122" s="107">
        <v>291.91431256430371</v>
      </c>
      <c r="I122" s="107">
        <v>260.75663127770713</v>
      </c>
      <c r="J122" s="107">
        <v>291.64960121863123</v>
      </c>
      <c r="K122" s="107">
        <v>317.85608217933418</v>
      </c>
      <c r="L122" s="107">
        <v>310.01216843031398</v>
      </c>
      <c r="M122" s="107">
        <v>279.99770270139538</v>
      </c>
      <c r="N122" s="107">
        <v>-5.1515381438791641</v>
      </c>
      <c r="O122" s="107">
        <v>-1.1793392591203489</v>
      </c>
      <c r="P122" s="107">
        <v>0.35660369032433081</v>
      </c>
    </row>
    <row r="123" spans="3:16" x14ac:dyDescent="0.35">
      <c r="C123" s="106" t="s">
        <v>163</v>
      </c>
      <c r="D123" s="107">
        <v>492.60600000379435</v>
      </c>
      <c r="E123" s="107">
        <v>534.39600000000007</v>
      </c>
      <c r="F123" s="107">
        <v>555.54817469609441</v>
      </c>
      <c r="G123" s="107">
        <v>527.88303115542681</v>
      </c>
      <c r="H123" s="107">
        <v>603.30527966994555</v>
      </c>
      <c r="I123" s="107">
        <v>646.80158801042944</v>
      </c>
      <c r="J123" s="107">
        <v>697.53488407556347</v>
      </c>
      <c r="K123" s="107">
        <v>735.98579981854414</v>
      </c>
      <c r="L123" s="107">
        <v>765.71482644923833</v>
      </c>
      <c r="M123" s="107">
        <v>770.13628394675595</v>
      </c>
      <c r="N123" s="107">
        <v>-0.12254894639962544</v>
      </c>
      <c r="O123" s="107">
        <v>2.0524270119674171</v>
      </c>
      <c r="P123" s="107">
        <v>0.87645814052994542</v>
      </c>
    </row>
    <row r="124" spans="3:16" x14ac:dyDescent="0.35">
      <c r="C124" s="106" t="s">
        <v>164</v>
      </c>
      <c r="D124" s="107">
        <v>603.27600000000007</v>
      </c>
      <c r="E124" s="107">
        <v>574.952</v>
      </c>
      <c r="F124" s="107">
        <v>503.98900000080073</v>
      </c>
      <c r="G124" s="107">
        <v>528.21850882984984</v>
      </c>
      <c r="H124" s="107">
        <v>470.42208862270314</v>
      </c>
      <c r="I124" s="107">
        <v>435.8934517235524</v>
      </c>
      <c r="J124" s="107">
        <v>409.73271647331467</v>
      </c>
      <c r="K124" s="107">
        <v>401.1537971543334</v>
      </c>
      <c r="L124" s="107">
        <v>350.14005538437073</v>
      </c>
      <c r="M124" s="107">
        <v>335.29122251900725</v>
      </c>
      <c r="N124" s="107">
        <v>-0.84418178910896646</v>
      </c>
      <c r="O124" s="107">
        <v>-1.902786095659581</v>
      </c>
      <c r="P124" s="107">
        <v>-1.3034227115312658</v>
      </c>
    </row>
    <row r="125" spans="3:16" x14ac:dyDescent="0.35">
      <c r="C125" s="106" t="s">
        <v>165</v>
      </c>
      <c r="D125" s="107">
        <v>1017.9610000005808</v>
      </c>
      <c r="E125" s="107">
        <v>973.31983663510755</v>
      </c>
      <c r="F125" s="107">
        <v>996.28753457245875</v>
      </c>
      <c r="G125" s="107">
        <v>1126.5745952204477</v>
      </c>
      <c r="H125" s="107">
        <v>1066.8961933158143</v>
      </c>
      <c r="I125" s="107">
        <v>1071.2725724226652</v>
      </c>
      <c r="J125" s="107">
        <v>1028.9453092084077</v>
      </c>
      <c r="K125" s="107">
        <v>907.70814932839653</v>
      </c>
      <c r="L125" s="107">
        <v>855.01155211978971</v>
      </c>
      <c r="M125" s="107">
        <v>817.2049735074836</v>
      </c>
      <c r="N125" s="107">
        <v>1.4729854252053975</v>
      </c>
      <c r="O125" s="107">
        <v>-0.50207969959790155</v>
      </c>
      <c r="P125" s="107">
        <v>-1.3444434880586664</v>
      </c>
    </row>
    <row r="126" spans="3:16" x14ac:dyDescent="0.35">
      <c r="C126" s="117" t="s">
        <v>166</v>
      </c>
      <c r="D126" s="116">
        <v>1017.9610000005808</v>
      </c>
      <c r="E126" s="116">
        <v>973.31983663510755</v>
      </c>
      <c r="F126" s="116">
        <v>996.28753457245875</v>
      </c>
      <c r="G126" s="116">
        <v>1125.7481434254887</v>
      </c>
      <c r="H126" s="116">
        <v>1066.0263849746771</v>
      </c>
      <c r="I126" s="116">
        <v>1069.6621471923513</v>
      </c>
      <c r="J126" s="116">
        <v>1026.1571047856037</v>
      </c>
      <c r="K126" s="116">
        <v>903.37088265333671</v>
      </c>
      <c r="L126" s="116">
        <v>850.07240655034025</v>
      </c>
      <c r="M126" s="116">
        <v>811.64891337805398</v>
      </c>
      <c r="N126" s="116">
        <v>1.4655389384164108</v>
      </c>
      <c r="O126" s="116">
        <v>-0.50974618888955936</v>
      </c>
      <c r="P126" s="116">
        <v>-1.3706708439180648</v>
      </c>
    </row>
    <row r="127" spans="3:16" x14ac:dyDescent="0.35">
      <c r="C127" s="117" t="s">
        <v>167</v>
      </c>
      <c r="D127" s="116">
        <v>0</v>
      </c>
      <c r="E127" s="116">
        <v>0</v>
      </c>
      <c r="F127" s="116">
        <v>0</v>
      </c>
      <c r="G127" s="116">
        <v>9.7353504376021915E-2</v>
      </c>
      <c r="H127" s="116">
        <v>0.35067776015613067</v>
      </c>
      <c r="I127" s="116">
        <v>1.2977884296530737</v>
      </c>
      <c r="J127" s="116">
        <v>2.4188618400734527</v>
      </c>
      <c r="K127" s="116">
        <v>3.9815376370988389</v>
      </c>
      <c r="L127" s="116">
        <v>4.5964243381166394</v>
      </c>
      <c r="M127" s="116">
        <v>5.280003302649634</v>
      </c>
      <c r="N127" s="116" t="s">
        <v>168</v>
      </c>
      <c r="O127" s="116">
        <v>29.564263562910263</v>
      </c>
      <c r="P127" s="116">
        <v>7.2683288696922421</v>
      </c>
    </row>
    <row r="128" spans="3:16" x14ac:dyDescent="0.35">
      <c r="C128" s="117" t="s">
        <v>169</v>
      </c>
      <c r="D128" s="116">
        <v>0</v>
      </c>
      <c r="E128" s="116">
        <v>0</v>
      </c>
      <c r="F128" s="116">
        <v>0</v>
      </c>
      <c r="G128" s="116">
        <v>0.72909829058278675</v>
      </c>
      <c r="H128" s="116">
        <v>0.51913058098119791</v>
      </c>
      <c r="I128" s="116">
        <v>0.31263680066088995</v>
      </c>
      <c r="J128" s="116">
        <v>0.3693425827304182</v>
      </c>
      <c r="K128" s="116">
        <v>0.35572903796091282</v>
      </c>
      <c r="L128" s="116">
        <v>0.34272123133279209</v>
      </c>
      <c r="M128" s="116">
        <v>0.27605682677994281</v>
      </c>
      <c r="N128" s="116" t="s">
        <v>168</v>
      </c>
      <c r="O128" s="116">
        <v>-8.1190658979512271</v>
      </c>
      <c r="P128" s="116">
        <v>-0.62024547112418116</v>
      </c>
    </row>
    <row r="129" spans="3:16" x14ac:dyDescent="0.35">
      <c r="C129" s="106" t="s">
        <v>170</v>
      </c>
      <c r="D129" s="107">
        <v>0</v>
      </c>
      <c r="E129" s="107">
        <v>0</v>
      </c>
      <c r="F129" s="107">
        <v>0</v>
      </c>
      <c r="G129" s="107">
        <v>2.9218791133953279E-3</v>
      </c>
      <c r="H129" s="107">
        <v>8.1103617806716904E-3</v>
      </c>
      <c r="I129" s="107">
        <v>0.15160162190294546</v>
      </c>
      <c r="J129" s="107">
        <v>0.96939968228589002</v>
      </c>
      <c r="K129" s="107">
        <v>3.4839271857476253</v>
      </c>
      <c r="L129" s="107">
        <v>7.3512020127275886</v>
      </c>
      <c r="M129" s="107">
        <v>13.350779280092402</v>
      </c>
      <c r="N129" s="107" t="s">
        <v>168</v>
      </c>
      <c r="O129" s="107">
        <v>48.424009841512714</v>
      </c>
      <c r="P129" s="107">
        <v>25.09505385489188</v>
      </c>
    </row>
    <row r="130" spans="3:16" x14ac:dyDescent="0.35">
      <c r="C130" s="106" t="s">
        <v>171</v>
      </c>
      <c r="D130" s="107">
        <v>0</v>
      </c>
      <c r="E130" s="107">
        <v>0</v>
      </c>
      <c r="F130" s="107">
        <v>0</v>
      </c>
      <c r="G130" s="107">
        <v>0</v>
      </c>
      <c r="H130" s="107">
        <v>0</v>
      </c>
      <c r="I130" s="107">
        <v>0</v>
      </c>
      <c r="J130" s="107">
        <v>0</v>
      </c>
      <c r="K130" s="107">
        <v>0</v>
      </c>
      <c r="L130" s="107">
        <v>0</v>
      </c>
      <c r="M130" s="107">
        <v>0</v>
      </c>
      <c r="N130" s="107" t="s">
        <v>168</v>
      </c>
      <c r="O130" s="107" t="s">
        <v>168</v>
      </c>
      <c r="P130" s="107" t="s">
        <v>168</v>
      </c>
    </row>
    <row r="133" spans="3:16" x14ac:dyDescent="0.35">
      <c r="C133" s="106" t="s">
        <v>160</v>
      </c>
      <c r="D133" s="109">
        <f>D120/D$111</f>
        <v>1.8529392998301655E-2</v>
      </c>
      <c r="E133" s="109">
        <f t="shared" ref="E133:M133" si="8">E120/E$111</f>
        <v>2.3501770364507894E-2</v>
      </c>
      <c r="F133" s="109">
        <f t="shared" si="8"/>
        <v>1.1548286363014538E-2</v>
      </c>
      <c r="G133" s="109">
        <f t="shared" si="8"/>
        <v>8.2924938116355172E-3</v>
      </c>
      <c r="H133" s="109">
        <f t="shared" si="8"/>
        <v>7.137562249304911E-3</v>
      </c>
      <c r="I133" s="109">
        <f t="shared" si="8"/>
        <v>5.9839719554781977E-3</v>
      </c>
      <c r="J133" s="109">
        <f t="shared" si="8"/>
        <v>4.0404223331922317E-3</v>
      </c>
      <c r="K133" s="109">
        <f t="shared" si="8"/>
        <v>2.3825251236721449E-3</v>
      </c>
      <c r="L133" s="109">
        <f t="shared" si="8"/>
        <v>1.4819232749056837E-3</v>
      </c>
      <c r="M133" s="109">
        <f t="shared" si="8"/>
        <v>1.0608974420021572E-3</v>
      </c>
      <c r="N133" s="109"/>
      <c r="O133" s="109"/>
      <c r="P133" s="109"/>
    </row>
    <row r="134" spans="3:16" x14ac:dyDescent="0.35">
      <c r="C134" s="106" t="s">
        <v>161</v>
      </c>
      <c r="D134" s="109">
        <f t="shared" ref="D134:M143" si="9">D121/D$111</f>
        <v>0.31931468648925654</v>
      </c>
      <c r="E134" s="109">
        <f t="shared" si="9"/>
        <v>0.33171868196568544</v>
      </c>
      <c r="F134" s="109">
        <f t="shared" si="9"/>
        <v>0.3437730175759014</v>
      </c>
      <c r="G134" s="109">
        <f t="shared" si="9"/>
        <v>0.34514563680773697</v>
      </c>
      <c r="H134" s="109">
        <f t="shared" si="9"/>
        <v>0.35165042172305588</v>
      </c>
      <c r="I134" s="109">
        <f t="shared" si="9"/>
        <v>0.32082776524516665</v>
      </c>
      <c r="J134" s="109">
        <f t="shared" si="9"/>
        <v>0.29697252303738586</v>
      </c>
      <c r="K134" s="109">
        <f t="shared" si="9"/>
        <v>0.28325330281606959</v>
      </c>
      <c r="L134" s="109">
        <f t="shared" si="9"/>
        <v>0.27435351681533582</v>
      </c>
      <c r="M134" s="109">
        <f t="shared" si="9"/>
        <v>0.26687404420966415</v>
      </c>
      <c r="N134" s="109"/>
      <c r="O134" s="109"/>
      <c r="P134" s="109"/>
    </row>
    <row r="135" spans="3:16" x14ac:dyDescent="0.35">
      <c r="C135" s="106" t="s">
        <v>162</v>
      </c>
      <c r="D135" s="109">
        <f t="shared" si="9"/>
        <v>0.12828154159318703</v>
      </c>
      <c r="E135" s="109">
        <f t="shared" si="9"/>
        <v>0.12447740094309299</v>
      </c>
      <c r="F135" s="109">
        <f t="shared" si="9"/>
        <v>8.6060991242176157E-2</v>
      </c>
      <c r="G135" s="109">
        <f t="shared" si="9"/>
        <v>7.6659877595694162E-2</v>
      </c>
      <c r="H135" s="109">
        <f t="shared" si="9"/>
        <v>7.694776010678174E-2</v>
      </c>
      <c r="I135" s="109">
        <f t="shared" si="9"/>
        <v>7.2690405174499678E-2</v>
      </c>
      <c r="J135" s="109">
        <f t="shared" si="9"/>
        <v>8.3933060515666361E-2</v>
      </c>
      <c r="K135" s="109">
        <f t="shared" si="9"/>
        <v>9.5962375105948614E-2</v>
      </c>
      <c r="L135" s="109">
        <f t="shared" si="9"/>
        <v>9.8110698972048369E-2</v>
      </c>
      <c r="M135" s="109">
        <f t="shared" si="9"/>
        <v>9.2499230852906345E-2</v>
      </c>
      <c r="N135" s="109"/>
      <c r="O135" s="109"/>
      <c r="P135" s="109"/>
    </row>
    <row r="136" spans="3:16" x14ac:dyDescent="0.35">
      <c r="C136" s="106" t="s">
        <v>163</v>
      </c>
      <c r="D136" s="109">
        <f t="shared" si="9"/>
        <v>0.12441308190976329</v>
      </c>
      <c r="E136" s="109">
        <f t="shared" si="9"/>
        <v>0.13350539203188555</v>
      </c>
      <c r="F136" s="109">
        <f t="shared" si="9"/>
        <v>0.15095598611389452</v>
      </c>
      <c r="G136" s="109">
        <f t="shared" si="9"/>
        <v>0.13783134534068719</v>
      </c>
      <c r="H136" s="109">
        <f t="shared" si="9"/>
        <v>0.15902950945912134</v>
      </c>
      <c r="I136" s="109">
        <f t="shared" si="9"/>
        <v>0.18030709044524881</v>
      </c>
      <c r="J136" s="109">
        <f t="shared" si="9"/>
        <v>0.20074170303087158</v>
      </c>
      <c r="K136" s="109">
        <f t="shared" si="9"/>
        <v>0.22219787304554728</v>
      </c>
      <c r="L136" s="109">
        <f t="shared" si="9"/>
        <v>0.24232860670139275</v>
      </c>
      <c r="M136" s="109">
        <f t="shared" si="9"/>
        <v>0.25441999427031509</v>
      </c>
      <c r="N136" s="109"/>
      <c r="O136" s="109"/>
      <c r="P136" s="109"/>
    </row>
    <row r="137" spans="3:16" x14ac:dyDescent="0.35">
      <c r="C137" s="106" t="s">
        <v>164</v>
      </c>
      <c r="D137" s="109">
        <f t="shared" si="9"/>
        <v>0.15236401180987694</v>
      </c>
      <c r="E137" s="109">
        <f t="shared" si="9"/>
        <v>0.14363728800274825</v>
      </c>
      <c r="F137" s="109">
        <f t="shared" si="9"/>
        <v>0.13694610107808411</v>
      </c>
      <c r="G137" s="109">
        <f t="shared" si="9"/>
        <v>0.1379189392515888</v>
      </c>
      <c r="H137" s="109">
        <f t="shared" si="9"/>
        <v>0.1240018884524451</v>
      </c>
      <c r="I137" s="109">
        <f t="shared" si="9"/>
        <v>0.12151281240073725</v>
      </c>
      <c r="J137" s="109">
        <f t="shared" si="9"/>
        <v>0.11791588516941942</v>
      </c>
      <c r="K137" s="109">
        <f t="shared" si="9"/>
        <v>0.12111038081687715</v>
      </c>
      <c r="L137" s="109">
        <f t="shared" si="9"/>
        <v>0.11081011995693406</v>
      </c>
      <c r="M137" s="109">
        <f t="shared" si="9"/>
        <v>0.11076583806051449</v>
      </c>
      <c r="N137" s="109"/>
      <c r="O137" s="109"/>
      <c r="P137" s="109"/>
    </row>
    <row r="138" spans="3:16" x14ac:dyDescent="0.35">
      <c r="C138" s="106" t="s">
        <v>165</v>
      </c>
      <c r="D138" s="109">
        <f t="shared" si="9"/>
        <v>0.2570972851996145</v>
      </c>
      <c r="E138" s="109">
        <f t="shared" si="9"/>
        <v>0.24315946669208005</v>
      </c>
      <c r="F138" s="109">
        <f t="shared" si="9"/>
        <v>0.27071561762692908</v>
      </c>
      <c r="G138" s="109">
        <f t="shared" si="9"/>
        <v>0.29415094428401029</v>
      </c>
      <c r="H138" s="109">
        <f t="shared" si="9"/>
        <v>0.28123072014161604</v>
      </c>
      <c r="I138" s="109">
        <f t="shared" si="9"/>
        <v>0.29863569321387201</v>
      </c>
      <c r="J138" s="109">
        <f t="shared" si="9"/>
        <v>0.2961174249655833</v>
      </c>
      <c r="K138" s="109">
        <f t="shared" si="9"/>
        <v>0.27404172767546087</v>
      </c>
      <c r="L138" s="109">
        <f t="shared" si="9"/>
        <v>0.27058867215563759</v>
      </c>
      <c r="M138" s="109">
        <f t="shared" si="9"/>
        <v>0.26996947035392665</v>
      </c>
      <c r="N138" s="109"/>
      <c r="O138" s="109"/>
      <c r="P138" s="109"/>
    </row>
    <row r="139" spans="3:16" x14ac:dyDescent="0.35">
      <c r="C139" s="117" t="s">
        <v>166</v>
      </c>
      <c r="D139" s="114">
        <f t="shared" si="9"/>
        <v>0.2570972851996145</v>
      </c>
      <c r="E139" s="114">
        <f t="shared" si="9"/>
        <v>0.24315946669208005</v>
      </c>
      <c r="F139" s="114">
        <f t="shared" si="9"/>
        <v>0.27071561762692908</v>
      </c>
      <c r="G139" s="114">
        <f t="shared" si="9"/>
        <v>0.29393515602025594</v>
      </c>
      <c r="H139" s="114">
        <f t="shared" si="9"/>
        <v>0.2810014412036127</v>
      </c>
      <c r="I139" s="114">
        <f t="shared" si="9"/>
        <v>0.29818675942483991</v>
      </c>
      <c r="J139" s="114">
        <f t="shared" si="9"/>
        <v>0.29531501505460994</v>
      </c>
      <c r="K139" s="114">
        <f t="shared" si="9"/>
        <v>0.27273228470758398</v>
      </c>
      <c r="L139" s="114">
        <f t="shared" si="9"/>
        <v>0.26902556246675996</v>
      </c>
      <c r="M139" s="114">
        <f t="shared" si="9"/>
        <v>0.26813398640678576</v>
      </c>
      <c r="N139" s="109"/>
      <c r="O139" s="109"/>
      <c r="P139" s="109"/>
    </row>
    <row r="140" spans="3:16" x14ac:dyDescent="0.35">
      <c r="C140" s="117" t="s">
        <v>167</v>
      </c>
      <c r="D140" s="114">
        <f t="shared" si="9"/>
        <v>0</v>
      </c>
      <c r="E140" s="114">
        <f t="shared" si="9"/>
        <v>0</v>
      </c>
      <c r="F140" s="114">
        <f t="shared" si="9"/>
        <v>0</v>
      </c>
      <c r="G140" s="114">
        <f t="shared" si="9"/>
        <v>2.5419200258071476E-5</v>
      </c>
      <c r="H140" s="114">
        <f t="shared" si="9"/>
        <v>9.2437633243260057E-5</v>
      </c>
      <c r="I140" s="114">
        <f t="shared" si="9"/>
        <v>3.6178089247437193E-4</v>
      </c>
      <c r="J140" s="114">
        <f t="shared" si="9"/>
        <v>6.9611779461933193E-4</v>
      </c>
      <c r="K140" s="114">
        <f t="shared" si="9"/>
        <v>1.202046553931169E-3</v>
      </c>
      <c r="L140" s="114">
        <f t="shared" si="9"/>
        <v>1.4546474316414675E-3</v>
      </c>
      <c r="M140" s="114">
        <f t="shared" si="9"/>
        <v>1.7442866126539205E-3</v>
      </c>
      <c r="N140" s="109"/>
      <c r="O140" s="109"/>
      <c r="P140" s="109"/>
    </row>
    <row r="141" spans="3:16" x14ac:dyDescent="0.35">
      <c r="C141" s="117" t="s">
        <v>169</v>
      </c>
      <c r="D141" s="114">
        <f t="shared" si="9"/>
        <v>0</v>
      </c>
      <c r="E141" s="114">
        <f t="shared" si="9"/>
        <v>0</v>
      </c>
      <c r="F141" s="114">
        <f t="shared" si="9"/>
        <v>0</v>
      </c>
      <c r="G141" s="114">
        <f t="shared" si="9"/>
        <v>1.9036906349625078E-4</v>
      </c>
      <c r="H141" s="114">
        <f t="shared" si="9"/>
        <v>1.3684130476006052E-4</v>
      </c>
      <c r="I141" s="114">
        <f t="shared" si="9"/>
        <v>8.7152896557773059E-5</v>
      </c>
      <c r="J141" s="114">
        <f t="shared" si="9"/>
        <v>1.0629211635398713E-4</v>
      </c>
      <c r="K141" s="114">
        <f t="shared" si="9"/>
        <v>1.0739641394567841E-4</v>
      </c>
      <c r="L141" s="114">
        <f t="shared" si="9"/>
        <v>1.084622572361369E-4</v>
      </c>
      <c r="M141" s="114">
        <f t="shared" si="9"/>
        <v>9.1197334486957041E-5</v>
      </c>
      <c r="N141" s="109"/>
      <c r="O141" s="109"/>
      <c r="P141" s="109"/>
    </row>
    <row r="142" spans="3:16" x14ac:dyDescent="0.35">
      <c r="C142" s="106" t="s">
        <v>170</v>
      </c>
      <c r="D142" s="109">
        <f t="shared" si="9"/>
        <v>0</v>
      </c>
      <c r="E142" s="109">
        <f t="shared" si="9"/>
        <v>0</v>
      </c>
      <c r="F142" s="109">
        <f t="shared" si="9"/>
        <v>0</v>
      </c>
      <c r="G142" s="109">
        <f t="shared" si="9"/>
        <v>7.6290864709298808E-7</v>
      </c>
      <c r="H142" s="109">
        <f t="shared" si="9"/>
        <v>2.1378676749221183E-6</v>
      </c>
      <c r="I142" s="109">
        <f t="shared" si="9"/>
        <v>4.2261564997363667E-5</v>
      </c>
      <c r="J142" s="109">
        <f t="shared" si="9"/>
        <v>2.7898094788127414E-4</v>
      </c>
      <c r="K142" s="109">
        <f t="shared" si="9"/>
        <v>1.0518154164245285E-3</v>
      </c>
      <c r="L142" s="109">
        <f t="shared" si="9"/>
        <v>2.3264621237458114E-3</v>
      </c>
      <c r="M142" s="109">
        <f t="shared" si="9"/>
        <v>4.4105248106712826E-3</v>
      </c>
      <c r="N142" s="109"/>
      <c r="O142" s="109"/>
      <c r="P142" s="109"/>
    </row>
    <row r="143" spans="3:16" x14ac:dyDescent="0.35">
      <c r="C143" s="106" t="s">
        <v>171</v>
      </c>
      <c r="D143" s="109">
        <f t="shared" si="9"/>
        <v>0</v>
      </c>
      <c r="E143" s="109">
        <f t="shared" si="9"/>
        <v>0</v>
      </c>
      <c r="F143" s="109">
        <f t="shared" si="9"/>
        <v>0</v>
      </c>
      <c r="G143" s="109">
        <f t="shared" si="9"/>
        <v>0</v>
      </c>
      <c r="H143" s="109">
        <f t="shared" si="9"/>
        <v>0</v>
      </c>
      <c r="I143" s="109">
        <f t="shared" si="9"/>
        <v>0</v>
      </c>
      <c r="J143" s="109">
        <f t="shared" si="9"/>
        <v>0</v>
      </c>
      <c r="K143" s="109">
        <f t="shared" si="9"/>
        <v>0</v>
      </c>
      <c r="L143" s="109">
        <f t="shared" si="9"/>
        <v>0</v>
      </c>
      <c r="M143" s="109">
        <f t="shared" si="9"/>
        <v>0</v>
      </c>
      <c r="N143" s="109"/>
      <c r="O143" s="109"/>
      <c r="P143" s="109"/>
    </row>
    <row r="144" spans="3:16" x14ac:dyDescent="0.35">
      <c r="C144" s="106"/>
      <c r="D144" s="108"/>
      <c r="E144" s="108"/>
      <c r="F144" s="108"/>
      <c r="G144" s="108"/>
      <c r="H144" s="108"/>
      <c r="I144" s="108"/>
      <c r="J144" s="108"/>
      <c r="K144" s="108"/>
      <c r="L144" s="108"/>
      <c r="M144" s="108"/>
      <c r="N144" s="108"/>
      <c r="O144" s="108"/>
      <c r="P144" s="108"/>
    </row>
    <row r="146" spans="3:19" x14ac:dyDescent="0.35">
      <c r="C146" s="106" t="s">
        <v>160</v>
      </c>
      <c r="D146" s="110">
        <f>D133*D$116</f>
        <v>27.867169423437783</v>
      </c>
      <c r="E146" s="110">
        <f t="shared" ref="E146:M146" si="10">E133*E$116</f>
        <v>32.641702866346471</v>
      </c>
      <c r="F146" s="110">
        <f t="shared" si="10"/>
        <v>12.767577533794336</v>
      </c>
      <c r="G146" s="110">
        <f t="shared" si="10"/>
        <v>10.066213674876938</v>
      </c>
      <c r="H146" s="110">
        <f t="shared" si="10"/>
        <v>7.0431681045623424</v>
      </c>
      <c r="I146" s="110">
        <f t="shared" si="10"/>
        <v>5.5284633137566281</v>
      </c>
      <c r="J146" s="110">
        <f t="shared" si="10"/>
        <v>3.5458657656526951</v>
      </c>
      <c r="K146" s="110">
        <f t="shared" si="10"/>
        <v>1.9773192181172123</v>
      </c>
      <c r="L146" s="110">
        <f t="shared" si="10"/>
        <v>1.1658747119892854</v>
      </c>
      <c r="M146" s="110">
        <f t="shared" si="10"/>
        <v>0.79913989035063981</v>
      </c>
      <c r="N146" s="111"/>
      <c r="O146" s="111"/>
      <c r="P146" s="111"/>
    </row>
    <row r="147" spans="3:19" x14ac:dyDescent="0.35">
      <c r="C147" s="106" t="s">
        <v>161</v>
      </c>
      <c r="D147" s="110">
        <f t="shared" ref="D147:M156" si="11">D134*D$116</f>
        <v>480.23140685739844</v>
      </c>
      <c r="E147" s="110">
        <f t="shared" si="11"/>
        <v>460.72540425686839</v>
      </c>
      <c r="F147" s="110">
        <f t="shared" si="11"/>
        <v>380.06926031760008</v>
      </c>
      <c r="G147" s="110">
        <f t="shared" si="11"/>
        <v>418.97043374132073</v>
      </c>
      <c r="H147" s="110">
        <f t="shared" si="11"/>
        <v>346.99985061102893</v>
      </c>
      <c r="I147" s="110">
        <f t="shared" si="11"/>
        <v>296.40588949763668</v>
      </c>
      <c r="J147" s="110">
        <f t="shared" si="11"/>
        <v>260.62243397853052</v>
      </c>
      <c r="K147" s="110">
        <f t="shared" si="11"/>
        <v>235.07924163676546</v>
      </c>
      <c r="L147" s="110">
        <f t="shared" si="11"/>
        <v>215.84236702179109</v>
      </c>
      <c r="M147" s="110">
        <f t="shared" si="11"/>
        <v>201.0276262186606</v>
      </c>
      <c r="N147" s="111"/>
      <c r="O147" s="111"/>
      <c r="P147" s="111"/>
    </row>
    <row r="148" spans="3:19" x14ac:dyDescent="0.35">
      <c r="C148" s="106" t="s">
        <v>162</v>
      </c>
      <c r="D148" s="112">
        <f t="shared" si="11"/>
        <v>192.92825478982405</v>
      </c>
      <c r="E148" s="112">
        <f t="shared" si="11"/>
        <v>172.88716007946564</v>
      </c>
      <c r="F148" s="112">
        <f t="shared" si="11"/>
        <v>95.147482819507573</v>
      </c>
      <c r="G148" s="112">
        <f t="shared" si="11"/>
        <v>93.05701345057409</v>
      </c>
      <c r="H148" s="112">
        <f t="shared" si="11"/>
        <v>75.930127229976591</v>
      </c>
      <c r="I148" s="112">
        <f t="shared" si="11"/>
        <v>67.157105892086705</v>
      </c>
      <c r="J148" s="112">
        <f t="shared" si="11"/>
        <v>73.659469566840841</v>
      </c>
      <c r="K148" s="112">
        <f t="shared" si="11"/>
        <v>79.641656924359836</v>
      </c>
      <c r="L148" s="112">
        <f t="shared" si="11"/>
        <v>77.186710570008643</v>
      </c>
      <c r="M148" s="112">
        <f t="shared" si="11"/>
        <v>69.676692840173516</v>
      </c>
      <c r="N148" s="113"/>
      <c r="O148" s="113"/>
      <c r="P148" s="113"/>
    </row>
    <row r="149" spans="3:19" x14ac:dyDescent="0.35">
      <c r="C149" s="106" t="s">
        <v>163</v>
      </c>
      <c r="D149" s="110">
        <f t="shared" si="11"/>
        <v>187.11030805969702</v>
      </c>
      <c r="E149" s="110">
        <f t="shared" si="11"/>
        <v>185.42617301465395</v>
      </c>
      <c r="F149" s="110">
        <f t="shared" si="11"/>
        <v>166.89422103977168</v>
      </c>
      <c r="G149" s="110">
        <f t="shared" si="11"/>
        <v>167.312729416613</v>
      </c>
      <c r="H149" s="110">
        <f t="shared" si="11"/>
        <v>156.9263467811796</v>
      </c>
      <c r="I149" s="110">
        <f t="shared" si="11"/>
        <v>166.58185268134287</v>
      </c>
      <c r="J149" s="110">
        <f t="shared" si="11"/>
        <v>176.17047769202145</v>
      </c>
      <c r="K149" s="110">
        <f t="shared" si="11"/>
        <v>184.40776142606092</v>
      </c>
      <c r="L149" s="110">
        <f t="shared" si="11"/>
        <v>190.6473832545293</v>
      </c>
      <c r="M149" s="110">
        <f t="shared" si="11"/>
        <v>191.64639132363615</v>
      </c>
      <c r="N149" s="111"/>
      <c r="O149" s="111"/>
      <c r="P149" s="111"/>
    </row>
    <row r="150" spans="3:19" x14ac:dyDescent="0.35">
      <c r="C150" s="106" t="s">
        <v>164</v>
      </c>
      <c r="D150" s="110">
        <f t="shared" si="11"/>
        <v>229.14694137739355</v>
      </c>
      <c r="E150" s="110">
        <f t="shared" si="11"/>
        <v>199.49840385616906</v>
      </c>
      <c r="F150" s="110">
        <f t="shared" si="11"/>
        <v>151.40514432211035</v>
      </c>
      <c r="G150" s="110">
        <f t="shared" si="11"/>
        <v>167.41905919433518</v>
      </c>
      <c r="H150" s="110">
        <f t="shared" si="11"/>
        <v>122.36196549302407</v>
      </c>
      <c r="I150" s="110">
        <f t="shared" si="11"/>
        <v>112.26308052695133</v>
      </c>
      <c r="J150" s="110">
        <f t="shared" si="11"/>
        <v>103.48272184668819</v>
      </c>
      <c r="K150" s="110">
        <f t="shared" si="11"/>
        <v>100.51263725337276</v>
      </c>
      <c r="L150" s="110">
        <f t="shared" si="11"/>
        <v>87.177736444223754</v>
      </c>
      <c r="M150" s="110">
        <f t="shared" si="11"/>
        <v>83.436340005895019</v>
      </c>
      <c r="N150" s="111"/>
      <c r="O150" s="111"/>
      <c r="P150" s="111"/>
    </row>
    <row r="151" spans="3:19" x14ac:dyDescent="0.35">
      <c r="C151" s="106" t="s">
        <v>165</v>
      </c>
      <c r="D151" s="110">
        <f t="shared" si="11"/>
        <v>386.659919492249</v>
      </c>
      <c r="E151" s="110">
        <f t="shared" si="11"/>
        <v>337.72515592649677</v>
      </c>
      <c r="F151" s="110">
        <f t="shared" si="11"/>
        <v>299.29831396721539</v>
      </c>
      <c r="G151" s="110">
        <f t="shared" si="11"/>
        <v>357.06825052736184</v>
      </c>
      <c r="H151" s="110">
        <f t="shared" si="11"/>
        <v>277.51144843849505</v>
      </c>
      <c r="I151" s="110">
        <f t="shared" si="11"/>
        <v>275.90311024096945</v>
      </c>
      <c r="J151" s="110">
        <f t="shared" si="11"/>
        <v>259.87200178876373</v>
      </c>
      <c r="K151" s="110">
        <f t="shared" si="11"/>
        <v>227.43431719349954</v>
      </c>
      <c r="L151" s="110">
        <f t="shared" si="11"/>
        <v>212.88044769868077</v>
      </c>
      <c r="M151" s="110">
        <f t="shared" si="11"/>
        <v>203.35931108430233</v>
      </c>
      <c r="N151" s="111"/>
      <c r="O151" s="111"/>
      <c r="P151" s="111"/>
    </row>
    <row r="152" spans="3:19" x14ac:dyDescent="0.35">
      <c r="C152" s="117" t="s">
        <v>166</v>
      </c>
      <c r="D152" s="115">
        <f t="shared" si="11"/>
        <v>386.659919492249</v>
      </c>
      <c r="E152" s="115">
        <f t="shared" si="11"/>
        <v>337.72515592649677</v>
      </c>
      <c r="F152" s="115">
        <f t="shared" si="11"/>
        <v>299.29831396721539</v>
      </c>
      <c r="G152" s="115">
        <f t="shared" si="11"/>
        <v>356.80630631361589</v>
      </c>
      <c r="H152" s="115">
        <f t="shared" si="11"/>
        <v>277.2852017107204</v>
      </c>
      <c r="I152" s="115">
        <f t="shared" si="11"/>
        <v>275.48834994439125</v>
      </c>
      <c r="J152" s="115">
        <f t="shared" si="11"/>
        <v>259.16780861322184</v>
      </c>
      <c r="K152" s="115">
        <f t="shared" si="11"/>
        <v>226.3475766090306</v>
      </c>
      <c r="L152" s="115">
        <f t="shared" si="11"/>
        <v>211.65070113272319</v>
      </c>
      <c r="M152" s="115">
        <f t="shared" si="11"/>
        <v>201.97670011533785</v>
      </c>
      <c r="N152" s="111"/>
      <c r="O152" s="111"/>
      <c r="P152" s="111"/>
    </row>
    <row r="153" spans="3:19" x14ac:dyDescent="0.35">
      <c r="C153" s="117" t="s">
        <v>167</v>
      </c>
      <c r="D153" s="115">
        <f t="shared" si="11"/>
        <v>0</v>
      </c>
      <c r="E153" s="115">
        <f t="shared" si="11"/>
        <v>0</v>
      </c>
      <c r="F153" s="115">
        <f t="shared" si="11"/>
        <v>0</v>
      </c>
      <c r="G153" s="115">
        <f t="shared" si="11"/>
        <v>3.0856230592925651E-2</v>
      </c>
      <c r="H153" s="115">
        <f t="shared" si="11"/>
        <v>9.1215147045976872E-2</v>
      </c>
      <c r="I153" s="115">
        <f t="shared" si="11"/>
        <v>0.33424160516522056</v>
      </c>
      <c r="J153" s="115">
        <f t="shared" si="11"/>
        <v>0.61091144767833516</v>
      </c>
      <c r="K153" s="115">
        <f t="shared" si="11"/>
        <v>0.99760952299898598</v>
      </c>
      <c r="L153" s="115">
        <f t="shared" si="11"/>
        <v>1.1444159654749242</v>
      </c>
      <c r="M153" s="115">
        <f t="shared" si="11"/>
        <v>1.3139149527457421</v>
      </c>
      <c r="N153" s="111"/>
      <c r="O153" s="111"/>
      <c r="P153" s="111"/>
    </row>
    <row r="154" spans="3:19" x14ac:dyDescent="0.35">
      <c r="C154" s="117" t="s">
        <v>169</v>
      </c>
      <c r="D154" s="115">
        <f t="shared" si="11"/>
        <v>0</v>
      </c>
      <c r="E154" s="115">
        <f t="shared" si="11"/>
        <v>0</v>
      </c>
      <c r="F154" s="115">
        <f t="shared" si="11"/>
        <v>0</v>
      </c>
      <c r="G154" s="115">
        <f t="shared" si="11"/>
        <v>0.23108798315298679</v>
      </c>
      <c r="H154" s="115">
        <f t="shared" si="11"/>
        <v>0.13503158072864616</v>
      </c>
      <c r="I154" s="115">
        <f t="shared" si="11"/>
        <v>8.051869141301328E-2</v>
      </c>
      <c r="J154" s="115">
        <f t="shared" si="11"/>
        <v>9.328172786348278E-2</v>
      </c>
      <c r="K154" s="115">
        <f t="shared" si="11"/>
        <v>8.9131061469924444E-2</v>
      </c>
      <c r="L154" s="115">
        <f t="shared" si="11"/>
        <v>8.5330600482630886E-2</v>
      </c>
      <c r="M154" s="115">
        <f t="shared" si="11"/>
        <v>6.8696016218718792E-2</v>
      </c>
      <c r="N154" s="111"/>
      <c r="O154" s="111"/>
      <c r="P154" s="111"/>
    </row>
    <row r="155" spans="3:19" x14ac:dyDescent="0.35">
      <c r="C155" s="106" t="s">
        <v>170</v>
      </c>
      <c r="D155" s="112">
        <f t="shared" si="11"/>
        <v>0</v>
      </c>
      <c r="E155" s="112">
        <f t="shared" si="11"/>
        <v>0</v>
      </c>
      <c r="F155" s="112">
        <f t="shared" si="11"/>
        <v>0</v>
      </c>
      <c r="G155" s="112">
        <f t="shared" si="11"/>
        <v>9.2609070690818679E-4</v>
      </c>
      <c r="H155" s="112">
        <f t="shared" si="11"/>
        <v>2.1095944096673445E-3</v>
      </c>
      <c r="I155" s="112">
        <f t="shared" si="11"/>
        <v>3.9044553251285287E-2</v>
      </c>
      <c r="J155" s="112">
        <f t="shared" si="11"/>
        <v>0.24483306713632205</v>
      </c>
      <c r="K155" s="112">
        <f t="shared" si="11"/>
        <v>0.87292881663411703</v>
      </c>
      <c r="L155" s="112">
        <f t="shared" si="11"/>
        <v>1.8302994523442895</v>
      </c>
      <c r="M155" s="112">
        <f t="shared" si="11"/>
        <v>3.3223063550203737</v>
      </c>
      <c r="N155" s="111"/>
      <c r="O155" s="111"/>
      <c r="P155" s="111"/>
    </row>
    <row r="156" spans="3:19" x14ac:dyDescent="0.35">
      <c r="C156" s="106" t="s">
        <v>171</v>
      </c>
      <c r="D156" s="110">
        <f t="shared" si="11"/>
        <v>0</v>
      </c>
      <c r="E156" s="110">
        <f t="shared" si="11"/>
        <v>0</v>
      </c>
      <c r="F156" s="110">
        <f t="shared" si="11"/>
        <v>0</v>
      </c>
      <c r="G156" s="110">
        <f t="shared" si="11"/>
        <v>0</v>
      </c>
      <c r="H156" s="110">
        <f t="shared" si="11"/>
        <v>0</v>
      </c>
      <c r="I156" s="110">
        <f t="shared" si="11"/>
        <v>0</v>
      </c>
      <c r="J156" s="110">
        <f t="shared" si="11"/>
        <v>0</v>
      </c>
      <c r="K156" s="110">
        <f t="shared" si="11"/>
        <v>0</v>
      </c>
      <c r="L156" s="110">
        <f t="shared" si="11"/>
        <v>0</v>
      </c>
      <c r="M156" s="110">
        <f t="shared" si="11"/>
        <v>0</v>
      </c>
      <c r="N156" s="111"/>
      <c r="O156" s="111"/>
      <c r="P156" s="111"/>
    </row>
    <row r="159" spans="3:19" ht="15" thickBot="1" x14ac:dyDescent="0.4">
      <c r="C159" s="1" t="s">
        <v>70</v>
      </c>
      <c r="D159" s="1"/>
      <c r="E159" s="1"/>
      <c r="F159" s="1"/>
      <c r="G159" s="1"/>
      <c r="H159" s="1"/>
      <c r="I159" s="1"/>
      <c r="J159" s="1"/>
      <c r="K159" s="1"/>
      <c r="L159" s="1"/>
      <c r="M159" s="1"/>
      <c r="N159" s="1"/>
      <c r="O159" s="1"/>
      <c r="P159" s="1"/>
      <c r="Q159" s="1"/>
      <c r="R159" s="1"/>
      <c r="S159" s="1"/>
    </row>
    <row r="161" spans="3:16" x14ac:dyDescent="0.35">
      <c r="C161" s="9"/>
      <c r="D161" s="9">
        <v>2005</v>
      </c>
      <c r="E161" s="9">
        <v>2010</v>
      </c>
      <c r="F161" s="9">
        <v>2015</v>
      </c>
      <c r="G161" s="9">
        <v>2020</v>
      </c>
      <c r="H161" s="9">
        <v>2025</v>
      </c>
      <c r="I161" s="9">
        <v>2030</v>
      </c>
      <c r="J161" s="9">
        <v>2035</v>
      </c>
      <c r="K161" s="9">
        <v>2040</v>
      </c>
      <c r="L161" s="9">
        <v>2045</v>
      </c>
      <c r="M161" s="9">
        <v>2050</v>
      </c>
      <c r="N161" s="9" t="s">
        <v>148</v>
      </c>
      <c r="O161" s="9" t="s">
        <v>149</v>
      </c>
      <c r="P161" s="9" t="s">
        <v>150</v>
      </c>
    </row>
    <row r="162" spans="3:16" x14ac:dyDescent="0.35">
      <c r="C162" s="68" t="s">
        <v>151</v>
      </c>
      <c r="D162" s="118">
        <v>24084.181986215117</v>
      </c>
      <c r="E162" s="118">
        <v>25320.750519708236</v>
      </c>
      <c r="F162" s="118">
        <v>23300.939979244038</v>
      </c>
      <c r="G162" s="118">
        <v>22996.301638751163</v>
      </c>
      <c r="H162" s="118">
        <v>23961.288264341787</v>
      </c>
      <c r="I162" s="118">
        <v>24018.85681471624</v>
      </c>
      <c r="J162" s="118">
        <v>22968.1216234733</v>
      </c>
      <c r="K162" s="118">
        <v>22279.988055773814</v>
      </c>
      <c r="L162" s="118">
        <v>22112.829464444545</v>
      </c>
      <c r="M162" s="118">
        <v>22230.086291867308</v>
      </c>
      <c r="N162" s="118">
        <v>-0.95828721726823884</v>
      </c>
      <c r="O162" s="118">
        <v>0.43600592977022234</v>
      </c>
      <c r="P162" s="118">
        <v>-0.38621532631706312</v>
      </c>
    </row>
    <row r="163" spans="3:16" x14ac:dyDescent="0.35">
      <c r="C163" s="105" t="s">
        <v>152</v>
      </c>
      <c r="D163" s="107"/>
      <c r="E163" s="107"/>
      <c r="F163" s="107"/>
      <c r="G163" s="107"/>
      <c r="H163" s="107"/>
      <c r="I163" s="107"/>
      <c r="J163" s="107"/>
      <c r="K163" s="107"/>
      <c r="L163" s="107"/>
      <c r="M163" s="107"/>
      <c r="N163" s="107"/>
      <c r="O163" s="107"/>
      <c r="P163" s="107"/>
    </row>
    <row r="164" spans="3:16" x14ac:dyDescent="0.35">
      <c r="C164" s="106" t="s">
        <v>153</v>
      </c>
      <c r="D164" s="107">
        <v>11143.373266666667</v>
      </c>
      <c r="E164" s="107">
        <v>10718.521500000001</v>
      </c>
      <c r="F164" s="107">
        <v>10046.596504948136</v>
      </c>
      <c r="G164" s="107">
        <v>9986.2438093836718</v>
      </c>
      <c r="H164" s="107">
        <v>10386.277211971614</v>
      </c>
      <c r="I164" s="107">
        <v>10695.189626790838</v>
      </c>
      <c r="J164" s="107">
        <v>10143.597002792591</v>
      </c>
      <c r="K164" s="107">
        <v>9794.7942421160678</v>
      </c>
      <c r="L164" s="107">
        <v>9751.7672849521496</v>
      </c>
      <c r="M164" s="107">
        <v>9888.3421289616053</v>
      </c>
      <c r="N164" s="107">
        <v>-0.70514906884214801</v>
      </c>
      <c r="O164" s="107">
        <v>0.68821283379076892</v>
      </c>
      <c r="P164" s="107">
        <v>-0.39141980907849705</v>
      </c>
    </row>
    <row r="165" spans="3:16" x14ac:dyDescent="0.35">
      <c r="C165" s="117" t="s">
        <v>154</v>
      </c>
      <c r="D165" s="116">
        <v>7888.7672666666676</v>
      </c>
      <c r="E165" s="116">
        <v>8432.2475000000013</v>
      </c>
      <c r="F165" s="116">
        <v>8007.1835049474903</v>
      </c>
      <c r="G165" s="116">
        <v>8009.1371403149424</v>
      </c>
      <c r="H165" s="116">
        <v>8125.9484384374882</v>
      </c>
      <c r="I165" s="116">
        <v>8206.0898274562278</v>
      </c>
      <c r="J165" s="116">
        <v>7769.1298827886121</v>
      </c>
      <c r="K165" s="116">
        <v>7374.8771533449162</v>
      </c>
      <c r="L165" s="116">
        <v>7240.2190884009669</v>
      </c>
      <c r="M165" s="116">
        <v>7263.4411313230175</v>
      </c>
      <c r="N165" s="116">
        <v>-0.51348027339599422</v>
      </c>
      <c r="O165" s="116">
        <v>0.24323040684477437</v>
      </c>
      <c r="P165" s="116">
        <v>-0.60825677745338647</v>
      </c>
    </row>
    <row r="166" spans="3:16" x14ac:dyDescent="0.35">
      <c r="C166" s="117" t="s">
        <v>155</v>
      </c>
      <c r="D166" s="116">
        <v>3254.6059999999998</v>
      </c>
      <c r="E166" s="116">
        <v>2286.2739999999994</v>
      </c>
      <c r="F166" s="116">
        <v>2039.4130000006462</v>
      </c>
      <c r="G166" s="116">
        <v>1977.1066690687294</v>
      </c>
      <c r="H166" s="116">
        <v>2260.3287735341255</v>
      </c>
      <c r="I166" s="116">
        <v>2489.09979933461</v>
      </c>
      <c r="J166" s="116">
        <v>2374.4671200039784</v>
      </c>
      <c r="K166" s="116">
        <v>2419.9170887711516</v>
      </c>
      <c r="L166" s="116">
        <v>2511.5481965511826</v>
      </c>
      <c r="M166" s="116">
        <v>2624.9009976385878</v>
      </c>
      <c r="N166" s="116">
        <v>-1.4423856989986383</v>
      </c>
      <c r="O166" s="116">
        <v>2.3295868934246844</v>
      </c>
      <c r="P166" s="116">
        <v>0.26596336373427842</v>
      </c>
    </row>
    <row r="167" spans="3:16" x14ac:dyDescent="0.35">
      <c r="C167" s="106" t="s">
        <v>156</v>
      </c>
      <c r="D167" s="107">
        <v>5061.4395091176821</v>
      </c>
      <c r="E167" s="107">
        <v>6056.8882036748628</v>
      </c>
      <c r="F167" s="107">
        <v>5283.3875521372884</v>
      </c>
      <c r="G167" s="107">
        <v>5584.3681250123454</v>
      </c>
      <c r="H167" s="107">
        <v>5557.9410419821925</v>
      </c>
      <c r="I167" s="107">
        <v>5760.7341445921984</v>
      </c>
      <c r="J167" s="107">
        <v>5711.7042256007253</v>
      </c>
      <c r="K167" s="107">
        <v>5714.6385963962584</v>
      </c>
      <c r="L167" s="107">
        <v>5789.0901811836966</v>
      </c>
      <c r="M167" s="107">
        <v>5846.6997195038221</v>
      </c>
      <c r="N167" s="107">
        <v>-0.8089589944684894</v>
      </c>
      <c r="O167" s="107">
        <v>0.31142024836523508</v>
      </c>
      <c r="P167" s="107">
        <v>7.4089579251901405E-2</v>
      </c>
    </row>
    <row r="168" spans="3:16" x14ac:dyDescent="0.35">
      <c r="C168" s="106" t="s">
        <v>157</v>
      </c>
      <c r="D168" s="107">
        <v>3655.8743125966034</v>
      </c>
      <c r="E168" s="107">
        <v>4240.4834300394223</v>
      </c>
      <c r="F168" s="107">
        <v>3865.4793880343245</v>
      </c>
      <c r="G168" s="107">
        <v>3589.6813893094727</v>
      </c>
      <c r="H168" s="107">
        <v>4091.9260440834587</v>
      </c>
      <c r="I168" s="107">
        <v>4032.4244445281106</v>
      </c>
      <c r="J168" s="107">
        <v>3981.1044384444349</v>
      </c>
      <c r="K168" s="107">
        <v>3960.5332136523352</v>
      </c>
      <c r="L168" s="107">
        <v>3933.1630489170198</v>
      </c>
      <c r="M168" s="107">
        <v>3934.8347194194257</v>
      </c>
      <c r="N168" s="107">
        <v>-1.6523349848736157</v>
      </c>
      <c r="O168" s="107">
        <v>1.169833098431039</v>
      </c>
      <c r="P168" s="107">
        <v>-0.12241958556657995</v>
      </c>
    </row>
    <row r="169" spans="3:16" x14ac:dyDescent="0.35">
      <c r="C169" s="106" t="s">
        <v>158</v>
      </c>
      <c r="D169" s="107">
        <v>4223.4948978341627</v>
      </c>
      <c r="E169" s="107">
        <v>4304.8573859939461</v>
      </c>
      <c r="F169" s="107">
        <v>4105.476534124291</v>
      </c>
      <c r="G169" s="107">
        <v>3836.008315045673</v>
      </c>
      <c r="H169" s="107">
        <v>3925.1439663045271</v>
      </c>
      <c r="I169" s="107">
        <v>3530.5085988050932</v>
      </c>
      <c r="J169" s="107">
        <v>3131.7159566355526</v>
      </c>
      <c r="K169" s="107">
        <v>2810.0220036091496</v>
      </c>
      <c r="L169" s="107">
        <v>2638.8089493916777</v>
      </c>
      <c r="M169" s="107">
        <v>2560.2097239824534</v>
      </c>
      <c r="N169" s="107">
        <v>-1.1464939402140661</v>
      </c>
      <c r="O169" s="107">
        <v>-0.8264696557779061</v>
      </c>
      <c r="P169" s="107">
        <v>-1.5939242145608601</v>
      </c>
    </row>
    <row r="170" spans="3:16" x14ac:dyDescent="0.35">
      <c r="C170" s="105" t="s">
        <v>159</v>
      </c>
      <c r="D170" s="107"/>
      <c r="E170" s="107"/>
      <c r="F170" s="107"/>
      <c r="G170" s="107"/>
      <c r="H170" s="107"/>
      <c r="I170" s="107"/>
      <c r="J170" s="107"/>
      <c r="K170" s="107"/>
      <c r="L170" s="107"/>
      <c r="M170" s="107"/>
      <c r="N170" s="107"/>
      <c r="O170" s="107"/>
      <c r="P170" s="107"/>
    </row>
    <row r="171" spans="3:16" x14ac:dyDescent="0.35">
      <c r="C171" s="106" t="s">
        <v>160</v>
      </c>
      <c r="D171" s="107">
        <v>570.92966666666689</v>
      </c>
      <c r="E171" s="107">
        <v>528.35250000000008</v>
      </c>
      <c r="F171" s="107">
        <v>347.30944184982434</v>
      </c>
      <c r="G171" s="107">
        <v>251.35029475225815</v>
      </c>
      <c r="H171" s="107">
        <v>257.62423615858296</v>
      </c>
      <c r="I171" s="107">
        <v>289.95846074129588</v>
      </c>
      <c r="J171" s="107">
        <v>102.12997244887245</v>
      </c>
      <c r="K171" s="107">
        <v>54.025972994415724</v>
      </c>
      <c r="L171" s="107">
        <v>26.02664770221455</v>
      </c>
      <c r="M171" s="107">
        <v>21.931432872857037</v>
      </c>
      <c r="N171" s="107">
        <v>-7.1599077722781068</v>
      </c>
      <c r="O171" s="107">
        <v>1.4391587014657148</v>
      </c>
      <c r="P171" s="107">
        <v>-12.110587572973209</v>
      </c>
    </row>
    <row r="172" spans="3:16" x14ac:dyDescent="0.35">
      <c r="C172" s="106" t="s">
        <v>161</v>
      </c>
      <c r="D172" s="107">
        <v>7423.5607798575311</v>
      </c>
      <c r="E172" s="107">
        <v>6940.7497059435973</v>
      </c>
      <c r="F172" s="107">
        <v>5968.3899571546108</v>
      </c>
      <c r="G172" s="107">
        <v>5549.3350518909137</v>
      </c>
      <c r="H172" s="107">
        <v>5425.7562914041446</v>
      </c>
      <c r="I172" s="107">
        <v>4400.5426956022366</v>
      </c>
      <c r="J172" s="107">
        <v>3677.2522875070676</v>
      </c>
      <c r="K172" s="107">
        <v>2695.4203746374565</v>
      </c>
      <c r="L172" s="107">
        <v>2297.4272441336875</v>
      </c>
      <c r="M172" s="107">
        <v>2110.5526635148808</v>
      </c>
      <c r="N172" s="107">
        <v>-2.2124745322001482</v>
      </c>
      <c r="O172" s="107">
        <v>-2.2928086977169526</v>
      </c>
      <c r="P172" s="107">
        <v>-3.6072217609028345</v>
      </c>
    </row>
    <row r="173" spans="3:16" x14ac:dyDescent="0.35">
      <c r="C173" s="106" t="s">
        <v>162</v>
      </c>
      <c r="D173" s="107">
        <v>983.04971797508745</v>
      </c>
      <c r="E173" s="107">
        <v>957.62128442935568</v>
      </c>
      <c r="F173" s="107">
        <v>551.09036493005362</v>
      </c>
      <c r="G173" s="107">
        <v>350.05875523371981</v>
      </c>
      <c r="H173" s="107">
        <v>212.14727806729698</v>
      </c>
      <c r="I173" s="107">
        <v>320.74419978039697</v>
      </c>
      <c r="J173" s="107">
        <v>406.85469532084647</v>
      </c>
      <c r="K173" s="107">
        <v>560.98236996335936</v>
      </c>
      <c r="L173" s="107">
        <v>633.04702380668004</v>
      </c>
      <c r="M173" s="107">
        <v>666.63935672882383</v>
      </c>
      <c r="N173" s="107">
        <v>-9.5737095071714577</v>
      </c>
      <c r="O173" s="107">
        <v>-0.87075767772368806</v>
      </c>
      <c r="P173" s="107">
        <v>3.7257555381545293</v>
      </c>
    </row>
    <row r="174" spans="3:16" x14ac:dyDescent="0.35">
      <c r="C174" s="106" t="s">
        <v>163</v>
      </c>
      <c r="D174" s="107">
        <v>6943.1660000015436</v>
      </c>
      <c r="E174" s="107">
        <v>7179.7079999999996</v>
      </c>
      <c r="F174" s="107">
        <v>6748.5789999999943</v>
      </c>
      <c r="G174" s="107">
        <v>6677.6817840867707</v>
      </c>
      <c r="H174" s="107">
        <v>7115.4710979665406</v>
      </c>
      <c r="I174" s="107">
        <v>7794.9547426663958</v>
      </c>
      <c r="J174" s="107">
        <v>7951.0518427551906</v>
      </c>
      <c r="K174" s="107">
        <v>8341.146632912285</v>
      </c>
      <c r="L174" s="107">
        <v>8534.7735149088949</v>
      </c>
      <c r="M174" s="107">
        <v>8705.2821307015674</v>
      </c>
      <c r="N174" s="107">
        <v>-0.72225734128045227</v>
      </c>
      <c r="O174" s="107">
        <v>1.559086970142709</v>
      </c>
      <c r="P174" s="107">
        <v>0.55379423395502947</v>
      </c>
    </row>
    <row r="175" spans="3:16" x14ac:dyDescent="0.35">
      <c r="C175" s="106" t="s">
        <v>164</v>
      </c>
      <c r="D175" s="107">
        <v>3845.3229999999999</v>
      </c>
      <c r="E175" s="107">
        <v>4554.1959999999999</v>
      </c>
      <c r="F175" s="107">
        <v>3830.492000001434</v>
      </c>
      <c r="G175" s="107">
        <v>3701.6304681947122</v>
      </c>
      <c r="H175" s="107">
        <v>4244.5551684814445</v>
      </c>
      <c r="I175" s="107">
        <v>4220.6695368060809</v>
      </c>
      <c r="J175" s="107">
        <v>4055.7814967028144</v>
      </c>
      <c r="K175" s="107">
        <v>4172.0701736813999</v>
      </c>
      <c r="L175" s="107">
        <v>4227.9023767944918</v>
      </c>
      <c r="M175" s="107">
        <v>4222.3564083323627</v>
      </c>
      <c r="N175" s="107">
        <v>-2.0514222252602909</v>
      </c>
      <c r="O175" s="107">
        <v>1.3208510141203611</v>
      </c>
      <c r="P175" s="107">
        <v>1.9979666190828027E-3</v>
      </c>
    </row>
    <row r="176" spans="3:16" x14ac:dyDescent="0.35">
      <c r="C176" s="106" t="s">
        <v>165</v>
      </c>
      <c r="D176" s="107">
        <v>4318.1528217142868</v>
      </c>
      <c r="E176" s="107">
        <v>5160.1230293352792</v>
      </c>
      <c r="F176" s="107">
        <v>5855.0792153081229</v>
      </c>
      <c r="G176" s="107">
        <v>6466.2350130918658</v>
      </c>
      <c r="H176" s="107">
        <v>6705.6415801999947</v>
      </c>
      <c r="I176" s="107">
        <v>6991.1745762253558</v>
      </c>
      <c r="J176" s="107">
        <v>6766.9683752118226</v>
      </c>
      <c r="K176" s="107">
        <v>6441.1985414417886</v>
      </c>
      <c r="L176" s="107">
        <v>6374.5230266263197</v>
      </c>
      <c r="M176" s="107">
        <v>6482.8817962227085</v>
      </c>
      <c r="N176" s="107">
        <v>2.2819838233795187</v>
      </c>
      <c r="O176" s="107">
        <v>0.7835997396570038</v>
      </c>
      <c r="P176" s="107">
        <v>-0.3767059045516552</v>
      </c>
    </row>
    <row r="177" spans="3:16" x14ac:dyDescent="0.35">
      <c r="C177" s="117" t="s">
        <v>166</v>
      </c>
      <c r="D177" s="116">
        <v>4266.3140000000012</v>
      </c>
      <c r="E177" s="116">
        <v>4929.2313956209937</v>
      </c>
      <c r="F177" s="116">
        <v>5433.5812751365083</v>
      </c>
      <c r="G177" s="116">
        <v>5931.3258067481884</v>
      </c>
      <c r="H177" s="116">
        <v>6218.7569584625153</v>
      </c>
      <c r="I177" s="116">
        <v>6426.9198123095866</v>
      </c>
      <c r="J177" s="116">
        <v>6213.7178872048862</v>
      </c>
      <c r="K177" s="116">
        <v>5883.8491617165128</v>
      </c>
      <c r="L177" s="116">
        <v>5809.0534426421709</v>
      </c>
      <c r="M177" s="116">
        <v>5877.6732595778049</v>
      </c>
      <c r="N177" s="116">
        <v>1.8678775167175754</v>
      </c>
      <c r="O177" s="116">
        <v>0.80570472502241586</v>
      </c>
      <c r="P177" s="116">
        <v>-0.44567595491665779</v>
      </c>
    </row>
    <row r="178" spans="3:16" x14ac:dyDescent="0.35">
      <c r="C178" s="117" t="s">
        <v>167</v>
      </c>
      <c r="D178" s="116">
        <v>0.47799999999999998</v>
      </c>
      <c r="E178" s="116">
        <v>0.93100000000000016</v>
      </c>
      <c r="F178" s="116">
        <v>1.4810000000000005</v>
      </c>
      <c r="G178" s="116">
        <v>2.2930628753061368</v>
      </c>
      <c r="H178" s="116">
        <v>9.1903757131882227</v>
      </c>
      <c r="I178" s="116">
        <v>17.150988473153138</v>
      </c>
      <c r="J178" s="116">
        <v>25.820446616417119</v>
      </c>
      <c r="K178" s="116">
        <v>35.061345538589535</v>
      </c>
      <c r="L178" s="116">
        <v>41.44313751468114</v>
      </c>
      <c r="M178" s="116">
        <v>42.957059735209263</v>
      </c>
      <c r="N178" s="116">
        <v>9.4325774496510704</v>
      </c>
      <c r="O178" s="116">
        <v>22.28897903800171</v>
      </c>
      <c r="P178" s="116">
        <v>4.6977309625383823</v>
      </c>
    </row>
    <row r="179" spans="3:16" x14ac:dyDescent="0.35">
      <c r="C179" s="117" t="s">
        <v>169</v>
      </c>
      <c r="D179" s="116">
        <v>51.360821714285706</v>
      </c>
      <c r="E179" s="116">
        <v>229.96063371428571</v>
      </c>
      <c r="F179" s="116">
        <v>420.01694017161509</v>
      </c>
      <c r="G179" s="116">
        <v>532.61614346837109</v>
      </c>
      <c r="H179" s="116">
        <v>477.69424602429069</v>
      </c>
      <c r="I179" s="116">
        <v>547.10377544261587</v>
      </c>
      <c r="J179" s="116">
        <v>527.43004139051959</v>
      </c>
      <c r="K179" s="116">
        <v>522.28803418668667</v>
      </c>
      <c r="L179" s="116">
        <v>524.02644646946726</v>
      </c>
      <c r="M179" s="116">
        <v>562.25147690969447</v>
      </c>
      <c r="N179" s="116">
        <v>8.7617239611254671</v>
      </c>
      <c r="O179" s="116">
        <v>0.2687356312970568</v>
      </c>
      <c r="P179" s="116">
        <v>0.1366468555891176</v>
      </c>
    </row>
    <row r="180" spans="3:16" x14ac:dyDescent="0.35">
      <c r="C180" s="106" t="s">
        <v>170</v>
      </c>
      <c r="D180" s="107">
        <v>0</v>
      </c>
      <c r="E180" s="107">
        <v>0</v>
      </c>
      <c r="F180" s="107">
        <v>0</v>
      </c>
      <c r="G180" s="107">
        <v>1.0271500923540573E-2</v>
      </c>
      <c r="H180" s="107">
        <v>9.2612063787527954E-2</v>
      </c>
      <c r="I180" s="107">
        <v>0.81260289447805423</v>
      </c>
      <c r="J180" s="107">
        <v>8.0829535266861896</v>
      </c>
      <c r="K180" s="107">
        <v>15.143990143108406</v>
      </c>
      <c r="L180" s="107">
        <v>19.129630472257336</v>
      </c>
      <c r="M180" s="107">
        <v>20.442503494105438</v>
      </c>
      <c r="N180" s="107" t="s">
        <v>168</v>
      </c>
      <c r="O180" s="107">
        <v>54.8190668716354</v>
      </c>
      <c r="P180" s="107">
        <v>17.498625372567279</v>
      </c>
    </row>
    <row r="181" spans="3:16" x14ac:dyDescent="0.35">
      <c r="C181" s="106" t="s">
        <v>171</v>
      </c>
      <c r="D181" s="107">
        <v>0</v>
      </c>
      <c r="E181" s="107">
        <v>0</v>
      </c>
      <c r="F181" s="107">
        <v>0</v>
      </c>
      <c r="G181" s="107">
        <v>0</v>
      </c>
      <c r="H181" s="107">
        <v>0</v>
      </c>
      <c r="I181" s="107">
        <v>0</v>
      </c>
      <c r="J181" s="107">
        <v>0</v>
      </c>
      <c r="K181" s="107">
        <v>0</v>
      </c>
      <c r="L181" s="107">
        <v>0</v>
      </c>
      <c r="M181" s="107">
        <v>0</v>
      </c>
      <c r="N181" s="107" t="s">
        <v>168</v>
      </c>
      <c r="O181" s="107" t="s">
        <v>168</v>
      </c>
      <c r="P181" s="107" t="s">
        <v>168</v>
      </c>
    </row>
    <row r="184" spans="3:16" x14ac:dyDescent="0.35">
      <c r="C184" s="106" t="s">
        <v>160</v>
      </c>
      <c r="D184" s="109">
        <f>D171/D$162</f>
        <v>2.3705586803547889E-2</v>
      </c>
      <c r="E184" s="109">
        <f t="shared" ref="E184:M184" si="12">E171/E$162</f>
        <v>2.0866383861282489E-2</v>
      </c>
      <c r="F184" s="109">
        <f t="shared" si="12"/>
        <v>1.4905383308965214E-2</v>
      </c>
      <c r="G184" s="109">
        <f t="shared" si="12"/>
        <v>1.093003121548496E-2</v>
      </c>
      <c r="H184" s="109">
        <f t="shared" si="12"/>
        <v>1.0751685523602204E-2</v>
      </c>
      <c r="I184" s="109">
        <f t="shared" si="12"/>
        <v>1.207211746079604E-2</v>
      </c>
      <c r="J184" s="109">
        <f t="shared" si="12"/>
        <v>4.4465966404712938E-3</v>
      </c>
      <c r="K184" s="109">
        <f t="shared" si="12"/>
        <v>2.4248654379513909E-3</v>
      </c>
      <c r="L184" s="109">
        <f t="shared" si="12"/>
        <v>1.1769931000491401E-3</v>
      </c>
      <c r="M184" s="109">
        <f t="shared" si="12"/>
        <v>9.8656535044042842E-4</v>
      </c>
      <c r="N184" s="109"/>
      <c r="O184" s="109"/>
      <c r="P184" s="109"/>
    </row>
    <row r="185" spans="3:16" x14ac:dyDescent="0.35">
      <c r="C185" s="106" t="s">
        <v>161</v>
      </c>
      <c r="D185" s="109">
        <f t="shared" ref="D185:M194" si="13">D172/D$162</f>
        <v>0.30823387666255381</v>
      </c>
      <c r="E185" s="109">
        <f t="shared" si="13"/>
        <v>0.27411311132114002</v>
      </c>
      <c r="F185" s="109">
        <f t="shared" si="13"/>
        <v>0.25614374194651035</v>
      </c>
      <c r="G185" s="109">
        <f t="shared" si="13"/>
        <v>0.24131423996194701</v>
      </c>
      <c r="H185" s="109">
        <f t="shared" si="13"/>
        <v>0.2264384214883193</v>
      </c>
      <c r="I185" s="109">
        <f t="shared" si="13"/>
        <v>0.18321199587259476</v>
      </c>
      <c r="J185" s="109">
        <f t="shared" si="13"/>
        <v>0.16010243884066405</v>
      </c>
      <c r="K185" s="109">
        <f t="shared" si="13"/>
        <v>0.12097943535202856</v>
      </c>
      <c r="L185" s="109">
        <f t="shared" si="13"/>
        <v>0.10389567051234874</v>
      </c>
      <c r="M185" s="109">
        <f t="shared" si="13"/>
        <v>9.494127174337641E-2</v>
      </c>
      <c r="N185" s="109"/>
      <c r="O185" s="109"/>
      <c r="P185" s="109"/>
    </row>
    <row r="186" spans="3:16" x14ac:dyDescent="0.35">
      <c r="C186" s="106" t="s">
        <v>162</v>
      </c>
      <c r="D186" s="109">
        <f>D173/D$162</f>
        <v>4.0817235085573937E-2</v>
      </c>
      <c r="E186" s="109">
        <f t="shared" si="13"/>
        <v>3.7819624804722812E-2</v>
      </c>
      <c r="F186" s="109">
        <f t="shared" si="13"/>
        <v>2.3650992853548086E-2</v>
      </c>
      <c r="G186" s="109">
        <f t="shared" si="13"/>
        <v>1.5222393614973042E-2</v>
      </c>
      <c r="H186" s="109">
        <f t="shared" si="13"/>
        <v>8.8537509221908537E-3</v>
      </c>
      <c r="I186" s="109">
        <f t="shared" si="13"/>
        <v>1.3353849529752744E-2</v>
      </c>
      <c r="J186" s="109">
        <f t="shared" si="13"/>
        <v>1.7713886315589827E-2</v>
      </c>
      <c r="K186" s="109">
        <f t="shared" si="13"/>
        <v>2.5178755417599154E-2</v>
      </c>
      <c r="L186" s="109">
        <f t="shared" si="13"/>
        <v>2.8628042595117153E-2</v>
      </c>
      <c r="M186" s="109">
        <f t="shared" si="13"/>
        <v>2.9988158749195151E-2</v>
      </c>
      <c r="N186" s="109"/>
      <c r="O186" s="109"/>
      <c r="P186" s="109"/>
    </row>
    <row r="187" spans="3:16" x14ac:dyDescent="0.35">
      <c r="C187" s="106" t="s">
        <v>163</v>
      </c>
      <c r="D187" s="109">
        <f t="shared" si="13"/>
        <v>0.28828739144952281</v>
      </c>
      <c r="E187" s="109">
        <f t="shared" si="13"/>
        <v>0.28355036294882818</v>
      </c>
      <c r="F187" s="109">
        <f t="shared" si="13"/>
        <v>0.28962689943030107</v>
      </c>
      <c r="G187" s="109">
        <f t="shared" si="13"/>
        <v>0.29038068333710587</v>
      </c>
      <c r="H187" s="109">
        <f t="shared" si="13"/>
        <v>0.29695695070600586</v>
      </c>
      <c r="I187" s="109">
        <f t="shared" si="13"/>
        <v>0.32453479375798033</v>
      </c>
      <c r="J187" s="109">
        <f t="shared" si="13"/>
        <v>0.34617771418578946</v>
      </c>
      <c r="K187" s="109">
        <f t="shared" si="13"/>
        <v>0.37437841582463027</v>
      </c>
      <c r="L187" s="109">
        <f t="shared" si="13"/>
        <v>0.38596478703153064</v>
      </c>
      <c r="M187" s="109">
        <f t="shared" si="13"/>
        <v>0.39159911555927346</v>
      </c>
      <c r="N187" s="109"/>
      <c r="O187" s="109"/>
      <c r="P187" s="109"/>
    </row>
    <row r="188" spans="3:16" x14ac:dyDescent="0.35">
      <c r="C188" s="106" t="s">
        <v>164</v>
      </c>
      <c r="D188" s="109">
        <f t="shared" si="13"/>
        <v>0.15966176481314245</v>
      </c>
      <c r="E188" s="109">
        <f t="shared" si="13"/>
        <v>0.179860229516312</v>
      </c>
      <c r="F188" s="109">
        <f t="shared" si="13"/>
        <v>0.16439216629945194</v>
      </c>
      <c r="G188" s="109">
        <f t="shared" si="13"/>
        <v>0.16096633825489048</v>
      </c>
      <c r="H188" s="109">
        <f t="shared" si="13"/>
        <v>0.17714219376084292</v>
      </c>
      <c r="I188" s="109">
        <f t="shared" si="13"/>
        <v>0.17572316490184064</v>
      </c>
      <c r="J188" s="109">
        <f t="shared" si="13"/>
        <v>0.17658307297353507</v>
      </c>
      <c r="K188" s="109">
        <f t="shared" si="13"/>
        <v>0.18725639184533657</v>
      </c>
      <c r="L188" s="109">
        <f t="shared" si="13"/>
        <v>0.19119680652322585</v>
      </c>
      <c r="M188" s="109">
        <f t="shared" si="13"/>
        <v>0.18993882222927208</v>
      </c>
      <c r="N188" s="109"/>
      <c r="O188" s="109"/>
      <c r="P188" s="109"/>
    </row>
    <row r="189" spans="3:16" x14ac:dyDescent="0.35">
      <c r="C189" s="106" t="s">
        <v>165</v>
      </c>
      <c r="D189" s="109">
        <f t="shared" si="13"/>
        <v>0.17929414518565903</v>
      </c>
      <c r="E189" s="109">
        <f>E176/E$162</f>
        <v>0.20379028754771436</v>
      </c>
      <c r="F189" s="109">
        <f t="shared" si="13"/>
        <v>0.25128081616122344</v>
      </c>
      <c r="G189" s="109">
        <f t="shared" si="13"/>
        <v>0.28118586695677994</v>
      </c>
      <c r="H189" s="109">
        <f t="shared" si="13"/>
        <v>0.27985313252873206</v>
      </c>
      <c r="I189" s="109">
        <f t="shared" si="13"/>
        <v>0.29107024660482161</v>
      </c>
      <c r="J189" s="109">
        <f t="shared" si="13"/>
        <v>0.29462437051430518</v>
      </c>
      <c r="K189" s="109">
        <f t="shared" si="13"/>
        <v>0.28910242345361425</v>
      </c>
      <c r="L189" s="109">
        <f t="shared" si="13"/>
        <v>0.28827260830080492</v>
      </c>
      <c r="M189" s="109">
        <f t="shared" si="13"/>
        <v>0.29162647913761885</v>
      </c>
      <c r="N189" s="109"/>
      <c r="O189" s="109"/>
      <c r="P189" s="109"/>
    </row>
    <row r="190" spans="3:16" x14ac:dyDescent="0.35">
      <c r="C190" s="117" t="s">
        <v>166</v>
      </c>
      <c r="D190" s="114">
        <f t="shared" si="13"/>
        <v>0.1771417440061647</v>
      </c>
      <c r="E190" s="114">
        <f t="shared" si="13"/>
        <v>0.19467161495803056</v>
      </c>
      <c r="F190" s="114">
        <f t="shared" si="13"/>
        <v>0.2331915055777416</v>
      </c>
      <c r="G190" s="114">
        <f>G177/G$162</f>
        <v>0.25792520466653152</v>
      </c>
      <c r="H190" s="114">
        <f t="shared" si="13"/>
        <v>0.25953349794288882</v>
      </c>
      <c r="I190" s="114">
        <f t="shared" si="13"/>
        <v>0.2675780892441077</v>
      </c>
      <c r="J190" s="114">
        <f t="shared" si="13"/>
        <v>0.27053661544766894</v>
      </c>
      <c r="K190" s="114">
        <f t="shared" si="13"/>
        <v>0.2640867287265769</v>
      </c>
      <c r="L190" s="114">
        <f t="shared" si="13"/>
        <v>0.26270059433066267</v>
      </c>
      <c r="M190" s="114">
        <f t="shared" si="13"/>
        <v>0.2644017293683697</v>
      </c>
      <c r="N190" s="109"/>
      <c r="O190" s="109"/>
      <c r="P190" s="109"/>
    </row>
    <row r="191" spans="3:16" x14ac:dyDescent="0.35">
      <c r="C191" s="117" t="s">
        <v>167</v>
      </c>
      <c r="D191" s="114">
        <f t="shared" si="13"/>
        <v>1.9847051491040437E-5</v>
      </c>
      <c r="E191" s="114">
        <f t="shared" si="13"/>
        <v>3.6768262428689176E-5</v>
      </c>
      <c r="F191" s="114">
        <f t="shared" si="13"/>
        <v>6.3559667606510404E-5</v>
      </c>
      <c r="G191" s="114">
        <f t="shared" si="13"/>
        <v>9.9714419793576163E-5</v>
      </c>
      <c r="H191" s="114">
        <f t="shared" si="13"/>
        <v>3.8355098489695839E-4</v>
      </c>
      <c r="I191" s="114">
        <f t="shared" si="13"/>
        <v>7.1406347960094449E-4</v>
      </c>
      <c r="J191" s="114">
        <f t="shared" si="13"/>
        <v>1.1241862543094842E-3</v>
      </c>
      <c r="K191" s="114">
        <f t="shared" si="13"/>
        <v>1.5736698534496501E-3</v>
      </c>
      <c r="L191" s="114">
        <f t="shared" si="13"/>
        <v>1.8741671020127933E-3</v>
      </c>
      <c r="M191" s="114">
        <f t="shared" si="13"/>
        <v>1.9323838500314209E-3</v>
      </c>
      <c r="N191" s="109"/>
      <c r="O191" s="109"/>
      <c r="P191" s="109"/>
    </row>
    <row r="192" spans="3:16" x14ac:dyDescent="0.35">
      <c r="C192" s="117" t="s">
        <v>169</v>
      </c>
      <c r="D192" s="114">
        <f t="shared" si="13"/>
        <v>2.1325541280032977E-3</v>
      </c>
      <c r="E192" s="114">
        <f t="shared" si="13"/>
        <v>9.0819043272551258E-3</v>
      </c>
      <c r="F192" s="114">
        <f t="shared" si="13"/>
        <v>1.8025750915875362E-2</v>
      </c>
      <c r="G192" s="114">
        <f t="shared" si="13"/>
        <v>2.3160947870454848E-2</v>
      </c>
      <c r="H192" s="114">
        <f t="shared" si="13"/>
        <v>1.9936083600946272E-2</v>
      </c>
      <c r="I192" s="114">
        <f t="shared" si="13"/>
        <v>2.2778093881112942E-2</v>
      </c>
      <c r="J192" s="114">
        <f t="shared" si="13"/>
        <v>2.2963568812326772E-2</v>
      </c>
      <c r="K192" s="114">
        <f t="shared" si="13"/>
        <v>2.3442024873587701E-2</v>
      </c>
      <c r="L192" s="114">
        <f t="shared" si="13"/>
        <v>2.3697846868129428E-2</v>
      </c>
      <c r="M192" s="114">
        <f t="shared" si="13"/>
        <v>2.5292365919217755E-2</v>
      </c>
      <c r="N192" s="109"/>
      <c r="O192" s="109"/>
      <c r="P192" s="109"/>
    </row>
    <row r="193" spans="3:16" x14ac:dyDescent="0.35">
      <c r="C193" s="106" t="s">
        <v>170</v>
      </c>
      <c r="D193" s="109">
        <f t="shared" si="13"/>
        <v>0</v>
      </c>
      <c r="E193" s="109">
        <f t="shared" si="13"/>
        <v>0</v>
      </c>
      <c r="F193" s="109">
        <f t="shared" si="13"/>
        <v>0</v>
      </c>
      <c r="G193" s="109">
        <f t="shared" si="13"/>
        <v>4.4665881866117222E-7</v>
      </c>
      <c r="H193" s="109">
        <f t="shared" si="13"/>
        <v>3.8650703069813429E-6</v>
      </c>
      <c r="I193" s="109">
        <f t="shared" si="13"/>
        <v>3.3831872213842264E-5</v>
      </c>
      <c r="J193" s="109">
        <f t="shared" si="13"/>
        <v>3.5192052964511708E-4</v>
      </c>
      <c r="K193" s="109">
        <f t="shared" si="13"/>
        <v>6.7971266883977844E-4</v>
      </c>
      <c r="L193" s="109">
        <f t="shared" si="13"/>
        <v>8.6509193692358875E-4</v>
      </c>
      <c r="M193" s="109">
        <f t="shared" si="13"/>
        <v>9.1958723082348796E-4</v>
      </c>
      <c r="N193" s="109"/>
      <c r="O193" s="109"/>
      <c r="P193" s="109"/>
    </row>
    <row r="194" spans="3:16" x14ac:dyDescent="0.35">
      <c r="C194" s="106" t="s">
        <v>171</v>
      </c>
      <c r="D194" s="109">
        <f t="shared" si="13"/>
        <v>0</v>
      </c>
      <c r="E194" s="109">
        <f t="shared" si="13"/>
        <v>0</v>
      </c>
      <c r="F194" s="109">
        <f t="shared" si="13"/>
        <v>0</v>
      </c>
      <c r="G194" s="109">
        <f t="shared" si="13"/>
        <v>0</v>
      </c>
      <c r="H194" s="109">
        <f t="shared" si="13"/>
        <v>0</v>
      </c>
      <c r="I194" s="109">
        <f t="shared" si="13"/>
        <v>0</v>
      </c>
      <c r="J194" s="109">
        <f t="shared" si="13"/>
        <v>0</v>
      </c>
      <c r="K194" s="109">
        <f t="shared" si="13"/>
        <v>0</v>
      </c>
      <c r="L194" s="109">
        <f t="shared" si="13"/>
        <v>0</v>
      </c>
      <c r="M194" s="109">
        <f t="shared" si="13"/>
        <v>0</v>
      </c>
      <c r="N194" s="109"/>
      <c r="O194" s="109"/>
      <c r="P194" s="109"/>
    </row>
    <row r="195" spans="3:16" x14ac:dyDescent="0.35">
      <c r="C195" s="106"/>
      <c r="D195" s="108"/>
      <c r="E195" s="108"/>
      <c r="F195" s="108"/>
      <c r="G195" s="108"/>
      <c r="H195" s="108"/>
      <c r="I195" s="108"/>
      <c r="J195" s="108"/>
      <c r="K195" s="108"/>
      <c r="L195" s="108"/>
      <c r="M195" s="108"/>
      <c r="N195" s="108"/>
      <c r="O195" s="108"/>
      <c r="P195" s="108"/>
    </row>
    <row r="197" spans="3:16" x14ac:dyDescent="0.35">
      <c r="C197" s="106" t="s">
        <v>160</v>
      </c>
      <c r="D197" s="110">
        <f>D184*D$167</f>
        <v>119.98439363429603</v>
      </c>
      <c r="E197" s="110">
        <f t="shared" ref="E197:M197" si="14">E184*E$167</f>
        <v>126.38535426275344</v>
      </c>
      <c r="F197" s="110">
        <f t="shared" si="14"/>
        <v>78.750916634421714</v>
      </c>
      <c r="G197" s="110">
        <f t="shared" si="14"/>
        <v>61.037317925144151</v>
      </c>
      <c r="H197" s="110">
        <f t="shared" si="14"/>
        <v>59.757234242114485</v>
      </c>
      <c r="I197" s="110">
        <f t="shared" si="14"/>
        <v>69.544259253935422</v>
      </c>
      <c r="J197" s="110">
        <f t="shared" si="14"/>
        <v>25.397644820921876</v>
      </c>
      <c r="K197" s="110">
        <f t="shared" si="14"/>
        <v>13.857229622784335</v>
      </c>
      <c r="L197" s="110">
        <f t="shared" si="14"/>
        <v>6.8137191988154369</v>
      </c>
      <c r="M197" s="110">
        <f t="shared" si="14"/>
        <v>5.7681513576922425</v>
      </c>
      <c r="N197" s="111"/>
      <c r="O197" s="111"/>
      <c r="P197" s="111"/>
    </row>
    <row r="198" spans="3:16" x14ac:dyDescent="0.35">
      <c r="C198" s="106" t="s">
        <v>161</v>
      </c>
      <c r="D198" s="110">
        <f t="shared" ref="D198:M207" si="15">D185*D$167</f>
        <v>1560.1071213883565</v>
      </c>
      <c r="E198" s="110">
        <f t="shared" si="15"/>
        <v>1660.2724704336274</v>
      </c>
      <c r="F198" s="110">
        <f t="shared" si="15"/>
        <v>1353.3066577580587</v>
      </c>
      <c r="G198" s="110">
        <f t="shared" si="15"/>
        <v>1347.5875497550771</v>
      </c>
      <c r="H198" s="110">
        <f t="shared" si="15"/>
        <v>1258.5313962715923</v>
      </c>
      <c r="I198" s="110">
        <f t="shared" si="15"/>
        <v>1055.4356003221417</v>
      </c>
      <c r="J198" s="110">
        <f t="shared" si="15"/>
        <v>914.45777645520252</v>
      </c>
      <c r="K198" s="110">
        <f t="shared" si="15"/>
        <v>691.35375063292838</v>
      </c>
      <c r="L198" s="110">
        <f t="shared" si="15"/>
        <v>601.46140603053459</v>
      </c>
      <c r="M198" s="110">
        <f t="shared" si="15"/>
        <v>555.09310687133495</v>
      </c>
      <c r="N198" s="111"/>
      <c r="O198" s="111"/>
      <c r="P198" s="111"/>
    </row>
    <row r="199" spans="3:16" x14ac:dyDescent="0.35">
      <c r="C199" s="106" t="s">
        <v>162</v>
      </c>
      <c r="D199" s="112">
        <f t="shared" si="15"/>
        <v>206.59396631506837</v>
      </c>
      <c r="E199" s="112">
        <f t="shared" si="15"/>
        <v>229.06923934713484</v>
      </c>
      <c r="F199" s="112">
        <f t="shared" si="15"/>
        <v>124.95736123812392</v>
      </c>
      <c r="G199" s="112">
        <f t="shared" si="15"/>
        <v>85.007449689846908</v>
      </c>
      <c r="H199" s="112">
        <f t="shared" si="15"/>
        <v>49.208625625932228</v>
      </c>
      <c r="I199" s="112">
        <f t="shared" si="15"/>
        <v>76.927976947793113</v>
      </c>
      <c r="J199" s="112">
        <f t="shared" si="15"/>
        <v>101.17647932056528</v>
      </c>
      <c r="K199" s="112">
        <f t="shared" si="15"/>
        <v>143.88748751863352</v>
      </c>
      <c r="L199" s="112">
        <f t="shared" si="15"/>
        <v>165.73032029390134</v>
      </c>
      <c r="M199" s="112">
        <f t="shared" si="15"/>
        <v>175.33175934735539</v>
      </c>
      <c r="N199" s="113"/>
      <c r="O199" s="113"/>
      <c r="P199" s="113"/>
    </row>
    <row r="200" spans="3:16" x14ac:dyDescent="0.35">
      <c r="C200" s="106" t="s">
        <v>163</v>
      </c>
      <c r="D200" s="110">
        <f t="shared" si="15"/>
        <v>1459.1491930630898</v>
      </c>
      <c r="E200" s="110">
        <f t="shared" si="15"/>
        <v>1717.4328484924833</v>
      </c>
      <c r="F200" s="110">
        <f t="shared" si="15"/>
        <v>1530.211155214171</v>
      </c>
      <c r="G200" s="110">
        <f t="shared" si="15"/>
        <v>1621.5926321470376</v>
      </c>
      <c r="H200" s="110">
        <f t="shared" si="15"/>
        <v>1650.4692240307927</v>
      </c>
      <c r="I200" s="110">
        <f t="shared" si="15"/>
        <v>1869.5586675097843</v>
      </c>
      <c r="J200" s="110">
        <f t="shared" si="15"/>
        <v>1977.2647129237739</v>
      </c>
      <c r="K200" s="110">
        <f t="shared" si="15"/>
        <v>2139.43734472912</v>
      </c>
      <c r="L200" s="110">
        <f t="shared" si="15"/>
        <v>2234.3849588868907</v>
      </c>
      <c r="M200" s="110">
        <f t="shared" si="15"/>
        <v>2289.5624390983489</v>
      </c>
      <c r="N200" s="111"/>
      <c r="O200" s="111"/>
      <c r="P200" s="111"/>
    </row>
    <row r="201" spans="3:16" x14ac:dyDescent="0.35">
      <c r="C201" s="106" t="s">
        <v>164</v>
      </c>
      <c r="D201" s="110">
        <f t="shared" si="15"/>
        <v>808.11836452069451</v>
      </c>
      <c r="E201" s="110">
        <f t="shared" si="15"/>
        <v>1089.3933024676035</v>
      </c>
      <c r="F201" s="110">
        <f t="shared" si="15"/>
        <v>868.54752509540742</v>
      </c>
      <c r="G201" s="110">
        <f t="shared" si="15"/>
        <v>898.89528855056574</v>
      </c>
      <c r="H201" s="110">
        <f t="shared" si="15"/>
        <v>984.54586897015076</v>
      </c>
      <c r="I201" s="110">
        <f t="shared" si="15"/>
        <v>1012.2944360458388</v>
      </c>
      <c r="J201" s="110">
        <f t="shared" si="15"/>
        <v>1008.5902840725015</v>
      </c>
      <c r="K201" s="110">
        <f t="shared" si="15"/>
        <v>1070.1026042612621</v>
      </c>
      <c r="L201" s="110">
        <f t="shared" si="15"/>
        <v>1106.8555553172857</v>
      </c>
      <c r="M201" s="110">
        <f t="shared" si="15"/>
        <v>1110.5152586507713</v>
      </c>
      <c r="N201" s="111"/>
      <c r="O201" s="111"/>
      <c r="P201" s="111"/>
    </row>
    <row r="202" spans="3:16" x14ac:dyDescent="0.35">
      <c r="C202" s="106" t="s">
        <v>165</v>
      </c>
      <c r="D202" s="110">
        <f t="shared" si="15"/>
        <v>907.48647019617647</v>
      </c>
      <c r="E202" s="110">
        <f t="shared" si="15"/>
        <v>1234.3349886712595</v>
      </c>
      <c r="F202" s="110">
        <f t="shared" si="15"/>
        <v>1327.6139361971063</v>
      </c>
      <c r="G202" s="110">
        <f t="shared" si="15"/>
        <v>1570.2453926374039</v>
      </c>
      <c r="H202" s="110">
        <f t="shared" si="15"/>
        <v>1555.4072110087218</v>
      </c>
      <c r="I202" s="110">
        <f t="shared" si="15"/>
        <v>1676.7783080912673</v>
      </c>
      <c r="J202" s="110">
        <f t="shared" si="15"/>
        <v>1682.8072620315106</v>
      </c>
      <c r="K202" s="110">
        <f t="shared" si="15"/>
        <v>1652.115867379719</v>
      </c>
      <c r="L202" s="110">
        <f t="shared" si="15"/>
        <v>1668.8361262184035</v>
      </c>
      <c r="M202" s="110">
        <f t="shared" si="15"/>
        <v>1705.0524537738033</v>
      </c>
      <c r="N202" s="111"/>
      <c r="O202" s="111"/>
      <c r="P202" s="111"/>
    </row>
    <row r="203" spans="3:16" x14ac:dyDescent="0.35">
      <c r="C203" s="117" t="s">
        <v>166</v>
      </c>
      <c r="D203" s="115">
        <f t="shared" si="15"/>
        <v>896.59222182681231</v>
      </c>
      <c r="E203" s="115">
        <f t="shared" si="15"/>
        <v>1179.1042082296303</v>
      </c>
      <c r="F203" s="115">
        <f t="shared" si="15"/>
        <v>1232.0410978335931</v>
      </c>
      <c r="G203" s="115">
        <f t="shared" si="15"/>
        <v>1440.3492915770642</v>
      </c>
      <c r="H203" s="115">
        <f t="shared" si="15"/>
        <v>1442.4718799859827</v>
      </c>
      <c r="I203" s="115">
        <f t="shared" si="15"/>
        <v>1541.4462350532697</v>
      </c>
      <c r="J203" s="115">
        <f t="shared" si="15"/>
        <v>1545.2251296321692</v>
      </c>
      <c r="K203" s="115">
        <f t="shared" si="15"/>
        <v>1509.1602127769249</v>
      </c>
      <c r="L203" s="115">
        <f t="shared" si="15"/>
        <v>1520.7974312307608</v>
      </c>
      <c r="M203" s="115">
        <f t="shared" si="15"/>
        <v>1545.8775169343726</v>
      </c>
      <c r="N203" s="111"/>
      <c r="O203" s="111"/>
      <c r="P203" s="111"/>
    </row>
    <row r="204" spans="3:16" x14ac:dyDescent="0.35">
      <c r="C204" s="117" t="s">
        <v>167</v>
      </c>
      <c r="D204" s="115">
        <f t="shared" si="15"/>
        <v>0.10045465055624507</v>
      </c>
      <c r="E204" s="115">
        <f t="shared" si="15"/>
        <v>0.22270125497394913</v>
      </c>
      <c r="F204" s="115">
        <f t="shared" si="15"/>
        <v>0.33581035665022069</v>
      </c>
      <c r="G204" s="115">
        <f t="shared" si="15"/>
        <v>0.55684202749934686</v>
      </c>
      <c r="H204" s="115">
        <f t="shared" si="15"/>
        <v>2.1317537606514971</v>
      </c>
      <c r="I204" s="115">
        <f t="shared" si="15"/>
        <v>4.113529868343476</v>
      </c>
      <c r="J204" s="115">
        <f t="shared" si="15"/>
        <v>6.4210193791017325</v>
      </c>
      <c r="K204" s="115">
        <f t="shared" si="15"/>
        <v>8.9929544825086136</v>
      </c>
      <c r="L204" s="115">
        <f t="shared" si="15"/>
        <v>10.849722368159766</v>
      </c>
      <c r="M204" s="115">
        <f t="shared" si="15"/>
        <v>11.298068113952425</v>
      </c>
      <c r="N204" s="111"/>
      <c r="O204" s="111"/>
      <c r="P204" s="111"/>
    </row>
    <row r="205" spans="3:16" x14ac:dyDescent="0.35">
      <c r="C205" s="117" t="s">
        <v>169</v>
      </c>
      <c r="D205" s="115">
        <f t="shared" si="15"/>
        <v>10.793793718807898</v>
      </c>
      <c r="E205" s="115">
        <f t="shared" si="15"/>
        <v>55.008079186655259</v>
      </c>
      <c r="F205" s="115">
        <f t="shared" si="15"/>
        <v>95.237028006863213</v>
      </c>
      <c r="G205" s="115">
        <f t="shared" si="15"/>
        <v>129.33925903284063</v>
      </c>
      <c r="H205" s="115">
        <f t="shared" si="15"/>
        <v>110.80357726208743</v>
      </c>
      <c r="I205" s="115">
        <f t="shared" si="15"/>
        <v>131.21854316965394</v>
      </c>
      <c r="J205" s="115">
        <f t="shared" si="15"/>
        <v>131.16111302023984</v>
      </c>
      <c r="K205" s="115">
        <f t="shared" si="15"/>
        <v>133.9627001202854</v>
      </c>
      <c r="L205" s="115">
        <f t="shared" si="15"/>
        <v>137.18897261948288</v>
      </c>
      <c r="M205" s="115">
        <f t="shared" si="15"/>
        <v>147.87686872547849</v>
      </c>
      <c r="N205" s="111"/>
      <c r="O205" s="111"/>
      <c r="P205" s="111"/>
    </row>
    <row r="206" spans="3:16" x14ac:dyDescent="0.35">
      <c r="C206" s="106" t="s">
        <v>170</v>
      </c>
      <c r="D206" s="112">
        <f t="shared" si="15"/>
        <v>0</v>
      </c>
      <c r="E206" s="112">
        <f t="shared" si="15"/>
        <v>0</v>
      </c>
      <c r="F206" s="112">
        <f t="shared" si="15"/>
        <v>0</v>
      </c>
      <c r="G206" s="112">
        <f t="shared" si="15"/>
        <v>2.4943072696871197E-3</v>
      </c>
      <c r="H206" s="112">
        <f t="shared" si="15"/>
        <v>2.1481832889318316E-2</v>
      </c>
      <c r="I206" s="112">
        <f t="shared" si="15"/>
        <v>0.19489642143776117</v>
      </c>
      <c r="J206" s="112">
        <f t="shared" si="15"/>
        <v>2.0100659762496607</v>
      </c>
      <c r="K206" s="112">
        <f t="shared" si="15"/>
        <v>3.8843122518113065</v>
      </c>
      <c r="L206" s="112">
        <f t="shared" si="15"/>
        <v>5.0080952378655335</v>
      </c>
      <c r="M206" s="112">
        <f t="shared" si="15"/>
        <v>5.3765504045149832</v>
      </c>
      <c r="N206" s="111"/>
      <c r="O206" s="111"/>
      <c r="P206" s="111"/>
    </row>
    <row r="207" spans="3:16" x14ac:dyDescent="0.35">
      <c r="C207" s="106" t="s">
        <v>171</v>
      </c>
      <c r="D207" s="110">
        <f t="shared" si="15"/>
        <v>0</v>
      </c>
      <c r="E207" s="110">
        <f t="shared" si="15"/>
        <v>0</v>
      </c>
      <c r="F207" s="110">
        <f t="shared" si="15"/>
        <v>0</v>
      </c>
      <c r="G207" s="110">
        <f t="shared" si="15"/>
        <v>0</v>
      </c>
      <c r="H207" s="110">
        <f t="shared" si="15"/>
        <v>0</v>
      </c>
      <c r="I207" s="110">
        <f t="shared" si="15"/>
        <v>0</v>
      </c>
      <c r="J207" s="110">
        <f t="shared" si="15"/>
        <v>0</v>
      </c>
      <c r="K207" s="110">
        <f t="shared" si="15"/>
        <v>0</v>
      </c>
      <c r="L207" s="110">
        <f t="shared" si="15"/>
        <v>0</v>
      </c>
      <c r="M207" s="110">
        <f t="shared" si="15"/>
        <v>0</v>
      </c>
      <c r="N207" s="111"/>
      <c r="O207" s="111"/>
      <c r="P207" s="111"/>
    </row>
    <row r="210" spans="3:19" ht="15" thickBot="1" x14ac:dyDescent="0.4">
      <c r="C210" s="1" t="s">
        <v>173</v>
      </c>
      <c r="D210" s="1"/>
      <c r="E210" s="1"/>
      <c r="F210" s="1"/>
      <c r="G210" s="1"/>
      <c r="H210" s="1"/>
      <c r="I210" s="1"/>
      <c r="J210" s="1"/>
      <c r="K210" s="1"/>
      <c r="L210" s="1"/>
      <c r="M210" s="1"/>
      <c r="N210" s="1"/>
      <c r="O210" s="1"/>
      <c r="P210" s="1"/>
      <c r="Q210" s="1"/>
      <c r="R210" s="1"/>
      <c r="S210" s="1"/>
    </row>
    <row r="212" spans="3:19" ht="13.5" x14ac:dyDescent="0.35">
      <c r="D212" s="5" t="s">
        <v>177</v>
      </c>
      <c r="E212" s="5"/>
      <c r="F212" s="5"/>
      <c r="G212" s="5"/>
      <c r="H212" s="5"/>
      <c r="I212" s="5"/>
      <c r="J212" s="5"/>
      <c r="K212" s="5"/>
      <c r="L212" s="5"/>
      <c r="M212" s="5"/>
      <c r="N212" s="5"/>
      <c r="O212" s="5"/>
      <c r="P212" s="5"/>
      <c r="Q212" s="5"/>
      <c r="R212" s="5"/>
      <c r="S212" s="5"/>
    </row>
    <row r="214" spans="3:19" x14ac:dyDescent="0.35">
      <c r="C214" s="9"/>
      <c r="D214" s="9">
        <v>2005</v>
      </c>
      <c r="E214" s="9">
        <v>2010</v>
      </c>
      <c r="F214" s="9">
        <v>2015</v>
      </c>
      <c r="G214" s="9">
        <v>2020</v>
      </c>
      <c r="H214" s="9">
        <v>2025</v>
      </c>
      <c r="I214" s="9">
        <v>2030</v>
      </c>
      <c r="J214" s="9">
        <v>2035</v>
      </c>
      <c r="K214" s="9">
        <v>2040</v>
      </c>
      <c r="L214" s="9">
        <v>2045</v>
      </c>
      <c r="M214" s="9">
        <v>2050</v>
      </c>
    </row>
    <row r="215" spans="3:19" x14ac:dyDescent="0.35">
      <c r="C215" t="s">
        <v>67</v>
      </c>
      <c r="D215" s="110">
        <f>D46+D53</f>
        <v>82.779299609744186</v>
      </c>
      <c r="E215" s="110">
        <f t="shared" ref="E215:M215" si="16">E46+E53</f>
        <v>74.098325543145549</v>
      </c>
      <c r="F215" s="110">
        <f t="shared" si="16"/>
        <v>68.596323881114984</v>
      </c>
      <c r="G215" s="110">
        <f t="shared" si="16"/>
        <v>81.672016234639031</v>
      </c>
      <c r="H215" s="110">
        <f t="shared" si="16"/>
        <v>63.336819310152592</v>
      </c>
      <c r="I215" s="110">
        <f t="shared" si="16"/>
        <v>53.298234022843957</v>
      </c>
      <c r="J215" s="110">
        <f t="shared" si="16"/>
        <v>51.140673981092213</v>
      </c>
      <c r="K215" s="110">
        <f t="shared" si="16"/>
        <v>52.7209732056428</v>
      </c>
      <c r="L215" s="110">
        <f t="shared" si="16"/>
        <v>53.404718514239505</v>
      </c>
      <c r="M215" s="110">
        <f t="shared" si="16"/>
        <v>53.822604047261287</v>
      </c>
    </row>
    <row r="216" spans="3:19" x14ac:dyDescent="0.35">
      <c r="C216" t="s">
        <v>69</v>
      </c>
      <c r="D216" s="110">
        <f>D97+D104</f>
        <v>192.01343197765533</v>
      </c>
      <c r="E216" s="110">
        <f t="shared" ref="E216:M216" si="17">E97+E104</f>
        <v>207.24772219307332</v>
      </c>
      <c r="F216" s="110">
        <f t="shared" si="17"/>
        <v>147.68210841017688</v>
      </c>
      <c r="G216" s="110">
        <f t="shared" si="17"/>
        <v>171.64653286499177</v>
      </c>
      <c r="H216" s="110">
        <f t="shared" si="17"/>
        <v>155.88996313609584</v>
      </c>
      <c r="I216" s="110">
        <f t="shared" si="17"/>
        <v>122.38361541808415</v>
      </c>
      <c r="J216" s="110">
        <f t="shared" si="17"/>
        <v>108.26915924408361</v>
      </c>
      <c r="K216" s="110">
        <f t="shared" si="17"/>
        <v>100.80436729940592</v>
      </c>
      <c r="L216" s="110">
        <f t="shared" si="17"/>
        <v>96.886379911192691</v>
      </c>
      <c r="M216" s="110">
        <f t="shared" si="17"/>
        <v>98.388743757798977</v>
      </c>
    </row>
    <row r="217" spans="3:19" x14ac:dyDescent="0.35">
      <c r="C217" t="s">
        <v>68</v>
      </c>
      <c r="D217" s="110">
        <f>D148+D155</f>
        <v>192.92825478982405</v>
      </c>
      <c r="E217" s="110">
        <f t="shared" ref="E217:M217" si="18">E148+E155</f>
        <v>172.88716007946564</v>
      </c>
      <c r="F217" s="110">
        <f t="shared" si="18"/>
        <v>95.147482819507573</v>
      </c>
      <c r="G217" s="110">
        <f t="shared" si="18"/>
        <v>93.057939541281002</v>
      </c>
      <c r="H217" s="110">
        <f t="shared" si="18"/>
        <v>75.932236824386266</v>
      </c>
      <c r="I217" s="110">
        <f t="shared" si="18"/>
        <v>67.196150445337992</v>
      </c>
      <c r="J217" s="110">
        <f t="shared" si="18"/>
        <v>73.904302633977167</v>
      </c>
      <c r="K217" s="110">
        <f t="shared" si="18"/>
        <v>80.514585740993951</v>
      </c>
      <c r="L217" s="110">
        <f t="shared" si="18"/>
        <v>79.017010022352935</v>
      </c>
      <c r="M217" s="110">
        <f t="shared" si="18"/>
        <v>72.998999195193889</v>
      </c>
    </row>
    <row r="218" spans="3:19" x14ac:dyDescent="0.35">
      <c r="C218" t="s">
        <v>70</v>
      </c>
      <c r="D218" s="110">
        <f>D199+D206</f>
        <v>206.59396631506837</v>
      </c>
      <c r="E218" s="110">
        <f t="shared" ref="E218:M218" si="19">E199+E206</f>
        <v>229.06923934713484</v>
      </c>
      <c r="F218" s="110">
        <f t="shared" si="19"/>
        <v>124.95736123812392</v>
      </c>
      <c r="G218" s="110">
        <f t="shared" si="19"/>
        <v>85.009943997116594</v>
      </c>
      <c r="H218" s="110">
        <f t="shared" si="19"/>
        <v>49.23010745882155</v>
      </c>
      <c r="I218" s="110">
        <f t="shared" si="19"/>
        <v>77.122873369230874</v>
      </c>
      <c r="J218" s="110">
        <f t="shared" si="19"/>
        <v>103.18654529681494</v>
      </c>
      <c r="K218" s="110">
        <f t="shared" si="19"/>
        <v>147.77179977044483</v>
      </c>
      <c r="L218" s="110">
        <f t="shared" si="19"/>
        <v>170.73841553176689</v>
      </c>
      <c r="M218" s="110">
        <f t="shared" si="19"/>
        <v>180.70830975187036</v>
      </c>
    </row>
    <row r="220" spans="3:19" ht="13.5" x14ac:dyDescent="0.35">
      <c r="D220" s="5" t="s">
        <v>178</v>
      </c>
      <c r="E220" s="5"/>
      <c r="F220" s="5"/>
      <c r="G220" s="5"/>
      <c r="H220" s="5"/>
      <c r="I220" s="5"/>
      <c r="J220" s="5"/>
      <c r="K220" s="5"/>
      <c r="L220" s="5"/>
      <c r="M220" s="5"/>
      <c r="N220" s="5"/>
      <c r="O220" s="5"/>
      <c r="P220" s="5"/>
      <c r="Q220" s="5"/>
      <c r="R220" s="5"/>
      <c r="S220" s="5"/>
    </row>
    <row r="222" spans="3:19" x14ac:dyDescent="0.35">
      <c r="C222" s="9"/>
      <c r="D222" s="9" t="s">
        <v>176</v>
      </c>
    </row>
    <row r="223" spans="3:19" x14ac:dyDescent="0.35">
      <c r="C223" t="s">
        <v>174</v>
      </c>
      <c r="D223" s="119">
        <v>1</v>
      </c>
    </row>
    <row r="224" spans="3:19" x14ac:dyDescent="0.35">
      <c r="C224" t="s">
        <v>175</v>
      </c>
      <c r="D224" s="119">
        <v>11630</v>
      </c>
    </row>
    <row r="226" spans="3:13" x14ac:dyDescent="0.35">
      <c r="C226" s="9"/>
      <c r="D226" s="9">
        <v>2005</v>
      </c>
      <c r="E226" s="9">
        <v>2010</v>
      </c>
      <c r="F226" s="9">
        <v>2015</v>
      </c>
      <c r="G226" s="9">
        <v>2020</v>
      </c>
      <c r="H226" s="9">
        <v>2025</v>
      </c>
      <c r="I226" s="9">
        <v>2030</v>
      </c>
      <c r="J226" s="9">
        <v>2035</v>
      </c>
      <c r="K226" s="9">
        <v>2040</v>
      </c>
      <c r="L226" s="9">
        <v>2045</v>
      </c>
      <c r="M226" s="9">
        <v>2050</v>
      </c>
    </row>
    <row r="227" spans="3:13" x14ac:dyDescent="0.35">
      <c r="C227" t="s">
        <v>67</v>
      </c>
      <c r="D227" s="120">
        <f>D215*$D$224</f>
        <v>962723.25446132489</v>
      </c>
      <c r="E227" s="120">
        <f t="shared" ref="E227:M227" si="20">E215*$D$224</f>
        <v>861763.52606678277</v>
      </c>
      <c r="F227" s="120">
        <f t="shared" si="20"/>
        <v>797775.24673736724</v>
      </c>
      <c r="G227" s="120">
        <f t="shared" si="20"/>
        <v>949845.54880885198</v>
      </c>
      <c r="H227" s="120">
        <f t="shared" si="20"/>
        <v>736607.20857707469</v>
      </c>
      <c r="I227" s="120">
        <f t="shared" si="20"/>
        <v>619858.4616856752</v>
      </c>
      <c r="J227" s="120">
        <f t="shared" si="20"/>
        <v>594766.03840010241</v>
      </c>
      <c r="K227" s="120">
        <f t="shared" si="20"/>
        <v>613144.91838162579</v>
      </c>
      <c r="L227" s="120">
        <f t="shared" si="20"/>
        <v>621096.8763206054</v>
      </c>
      <c r="M227" s="120">
        <f t="shared" si="20"/>
        <v>625956.88506964874</v>
      </c>
    </row>
    <row r="228" spans="3:13" x14ac:dyDescent="0.35">
      <c r="C228" t="s">
        <v>69</v>
      </c>
      <c r="D228" s="120">
        <f t="shared" ref="D228:M230" si="21">D216*$D$224</f>
        <v>2233116.2139001316</v>
      </c>
      <c r="E228" s="120">
        <f t="shared" si="21"/>
        <v>2410291.0091054426</v>
      </c>
      <c r="F228" s="120">
        <f t="shared" si="21"/>
        <v>1717542.9208103572</v>
      </c>
      <c r="G228" s="120">
        <f t="shared" si="21"/>
        <v>1996249.1772198542</v>
      </c>
      <c r="H228" s="120">
        <f t="shared" si="21"/>
        <v>1813000.2712727946</v>
      </c>
      <c r="I228" s="120">
        <f t="shared" si="21"/>
        <v>1423321.4473123187</v>
      </c>
      <c r="J228" s="120">
        <f t="shared" si="21"/>
        <v>1259170.3220086924</v>
      </c>
      <c r="K228" s="120">
        <f t="shared" si="21"/>
        <v>1172354.7916920909</v>
      </c>
      <c r="L228" s="120">
        <f t="shared" si="21"/>
        <v>1126788.5983671709</v>
      </c>
      <c r="M228" s="120">
        <f t="shared" si="21"/>
        <v>1144261.0899032021</v>
      </c>
    </row>
    <row r="229" spans="3:13" x14ac:dyDescent="0.35">
      <c r="C229" t="s">
        <v>68</v>
      </c>
      <c r="D229" s="120">
        <f t="shared" si="21"/>
        <v>2243755.6032056538</v>
      </c>
      <c r="E229" s="120">
        <f t="shared" si="21"/>
        <v>2010677.6717241853</v>
      </c>
      <c r="F229" s="120">
        <f t="shared" si="21"/>
        <v>1106565.225190873</v>
      </c>
      <c r="G229" s="120">
        <f t="shared" si="21"/>
        <v>1082263.836865098</v>
      </c>
      <c r="H229" s="120">
        <f t="shared" si="21"/>
        <v>883091.91426761227</v>
      </c>
      <c r="I229" s="120">
        <f t="shared" si="21"/>
        <v>781491.22967928089</v>
      </c>
      <c r="J229" s="120">
        <f t="shared" si="21"/>
        <v>859507.0396331544</v>
      </c>
      <c r="K229" s="120">
        <f t="shared" si="21"/>
        <v>936384.6321677597</v>
      </c>
      <c r="L229" s="120">
        <f t="shared" si="21"/>
        <v>918967.82655996468</v>
      </c>
      <c r="M229" s="120">
        <f t="shared" si="21"/>
        <v>848978.36064010498</v>
      </c>
    </row>
    <row r="230" spans="3:13" x14ac:dyDescent="0.35">
      <c r="C230" t="s">
        <v>70</v>
      </c>
      <c r="D230" s="120">
        <f t="shared" si="21"/>
        <v>2402687.8282442451</v>
      </c>
      <c r="E230" s="120">
        <f t="shared" si="21"/>
        <v>2664075.2536071781</v>
      </c>
      <c r="F230" s="120">
        <f t="shared" si="21"/>
        <v>1453254.1111993813</v>
      </c>
      <c r="G230" s="120">
        <f t="shared" si="21"/>
        <v>988665.64868646604</v>
      </c>
      <c r="H230" s="120">
        <f t="shared" si="21"/>
        <v>572546.1497460946</v>
      </c>
      <c r="I230" s="120">
        <f t="shared" si="21"/>
        <v>896939.01728415501</v>
      </c>
      <c r="J230" s="120">
        <f t="shared" si="21"/>
        <v>1200059.5218019579</v>
      </c>
      <c r="K230" s="120">
        <f t="shared" si="21"/>
        <v>1718586.0313302733</v>
      </c>
      <c r="L230" s="120">
        <f t="shared" si="21"/>
        <v>1985687.7726344489</v>
      </c>
      <c r="M230" s="120">
        <f t="shared" si="21"/>
        <v>2101637.6424142523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BFB8-FF2B-47DC-923E-4C55705E27F5}">
  <dimension ref="A1:M46"/>
  <sheetViews>
    <sheetView zoomScaleNormal="100" workbookViewId="0">
      <selection activeCell="N20" sqref="N20"/>
    </sheetView>
  </sheetViews>
  <sheetFormatPr defaultColWidth="9" defaultRowHeight="12" x14ac:dyDescent="0.3"/>
  <cols>
    <col min="1" max="1" width="18.25" style="136" customWidth="1"/>
    <col min="2" max="16384" width="9" style="136"/>
  </cols>
  <sheetData>
    <row r="1" spans="1:13" x14ac:dyDescent="0.3">
      <c r="A1" s="126" t="s">
        <v>181</v>
      </c>
    </row>
    <row r="2" spans="1:13" x14ac:dyDescent="0.3">
      <c r="A2" s="126" t="s">
        <v>182</v>
      </c>
      <c r="B2" s="127" t="s">
        <v>183</v>
      </c>
    </row>
    <row r="3" spans="1:13" x14ac:dyDescent="0.3">
      <c r="A3" s="126" t="s">
        <v>184</v>
      </c>
      <c r="B3" s="126" t="s">
        <v>185</v>
      </c>
    </row>
    <row r="5" spans="1:13" x14ac:dyDescent="0.3">
      <c r="A5" s="127" t="s">
        <v>186</v>
      </c>
      <c r="C5" s="126" t="s">
        <v>187</v>
      </c>
    </row>
    <row r="6" spans="1:13" x14ac:dyDescent="0.3">
      <c r="A6" s="127" t="s">
        <v>188</v>
      </c>
      <c r="C6" s="126" t="s">
        <v>189</v>
      </c>
    </row>
    <row r="7" spans="1:13" x14ac:dyDescent="0.3">
      <c r="A7" s="127" t="s">
        <v>190</v>
      </c>
      <c r="C7" s="126" t="s">
        <v>191</v>
      </c>
    </row>
    <row r="8" spans="1:13" x14ac:dyDescent="0.3">
      <c r="A8" s="127" t="s">
        <v>192</v>
      </c>
      <c r="C8" s="126" t="s">
        <v>193</v>
      </c>
    </row>
    <row r="10" spans="1:13" x14ac:dyDescent="0.3">
      <c r="A10" s="128" t="s">
        <v>194</v>
      </c>
      <c r="B10" s="129" t="s">
        <v>195</v>
      </c>
      <c r="C10" s="129" t="s">
        <v>196</v>
      </c>
      <c r="D10" s="129" t="s">
        <v>87</v>
      </c>
      <c r="E10" s="129" t="s">
        <v>88</v>
      </c>
      <c r="F10" s="129" t="s">
        <v>89</v>
      </c>
      <c r="G10" s="129" t="s">
        <v>90</v>
      </c>
      <c r="H10" s="129" t="s">
        <v>91</v>
      </c>
      <c r="I10" s="129" t="s">
        <v>92</v>
      </c>
      <c r="J10" s="129" t="s">
        <v>93</v>
      </c>
      <c r="K10" s="129" t="s">
        <v>94</v>
      </c>
      <c r="L10" s="129" t="s">
        <v>95</v>
      </c>
      <c r="M10" s="129" t="s">
        <v>96</v>
      </c>
    </row>
    <row r="11" spans="1:13" x14ac:dyDescent="0.3">
      <c r="A11" s="130" t="s">
        <v>197</v>
      </c>
      <c r="B11" s="137" t="s">
        <v>198</v>
      </c>
      <c r="C11" s="137" t="s">
        <v>198</v>
      </c>
      <c r="D11" s="137" t="s">
        <v>198</v>
      </c>
      <c r="E11" s="137" t="s">
        <v>198</v>
      </c>
      <c r="F11" s="137" t="s">
        <v>198</v>
      </c>
      <c r="G11" s="137" t="s">
        <v>198</v>
      </c>
      <c r="H11" s="137" t="s">
        <v>198</v>
      </c>
      <c r="I11" s="137" t="s">
        <v>198</v>
      </c>
      <c r="J11" s="137" t="s">
        <v>198</v>
      </c>
      <c r="K11" s="137" t="s">
        <v>198</v>
      </c>
      <c r="L11" s="137" t="s">
        <v>198</v>
      </c>
      <c r="M11" s="137" t="s">
        <v>198</v>
      </c>
    </row>
    <row r="12" spans="1:13" x14ac:dyDescent="0.3">
      <c r="A12" s="131" t="s">
        <v>67</v>
      </c>
      <c r="B12" s="132">
        <v>1026.8489999999999</v>
      </c>
      <c r="C12" s="132">
        <v>935.25300000000004</v>
      </c>
      <c r="D12" s="132">
        <v>970.82799999999997</v>
      </c>
      <c r="E12" s="132">
        <v>933.50599999999997</v>
      </c>
      <c r="F12" s="132">
        <v>888.14300000000003</v>
      </c>
      <c r="G12" s="132">
        <v>857.43499999999995</v>
      </c>
      <c r="H12" s="132">
        <v>930.57799999999997</v>
      </c>
      <c r="I12" s="132">
        <v>940.91399999999999</v>
      </c>
      <c r="J12" s="132">
        <v>941.03</v>
      </c>
      <c r="K12" s="132">
        <v>951.32799999999997</v>
      </c>
      <c r="L12" s="132">
        <v>944.66399999999999</v>
      </c>
      <c r="M12" s="132">
        <v>965.20100000000002</v>
      </c>
    </row>
    <row r="13" spans="1:13" x14ac:dyDescent="0.3">
      <c r="A13" s="131" t="s">
        <v>68</v>
      </c>
      <c r="B13" s="133">
        <v>1388.905</v>
      </c>
      <c r="C13" s="133">
        <v>1327.3889999999999</v>
      </c>
      <c r="D13" s="133">
        <v>1376.24</v>
      </c>
      <c r="E13" s="133">
        <v>1267.242</v>
      </c>
      <c r="F13" s="133">
        <v>1238.471</v>
      </c>
      <c r="G13" s="133">
        <v>1105.5820000000001</v>
      </c>
      <c r="H13" s="133">
        <v>1143.4829999999999</v>
      </c>
      <c r="I13" s="133">
        <v>1195.604</v>
      </c>
      <c r="J13" s="133">
        <v>1231.009</v>
      </c>
      <c r="K13" s="133">
        <v>1187.9670000000001</v>
      </c>
      <c r="L13" s="133">
        <v>1115.366</v>
      </c>
      <c r="M13" s="133">
        <v>1202.9559999999999</v>
      </c>
    </row>
    <row r="14" spans="1:13" x14ac:dyDescent="0.3">
      <c r="A14" s="131" t="s">
        <v>69</v>
      </c>
      <c r="B14" s="132">
        <v>1593.2159999999999</v>
      </c>
      <c r="C14" s="132">
        <v>1532.2070000000001</v>
      </c>
      <c r="D14" s="132">
        <v>1534.798</v>
      </c>
      <c r="E14" s="132">
        <v>1467.1980000000001</v>
      </c>
      <c r="F14" s="132">
        <v>1400.9</v>
      </c>
      <c r="G14" s="132">
        <v>1359.1310000000001</v>
      </c>
      <c r="H14" s="132">
        <v>1433.211</v>
      </c>
      <c r="I14" s="132">
        <v>1455.374</v>
      </c>
      <c r="J14" s="132">
        <v>1511.606</v>
      </c>
      <c r="K14" s="132">
        <v>1447.1769999999999</v>
      </c>
      <c r="L14" s="132">
        <v>1433.3610000000001</v>
      </c>
      <c r="M14" s="132">
        <v>1629.694</v>
      </c>
    </row>
    <row r="15" spans="1:13" x14ac:dyDescent="0.3">
      <c r="A15" s="131" t="s">
        <v>70</v>
      </c>
      <c r="B15" s="133">
        <v>5811.348</v>
      </c>
      <c r="C15" s="133">
        <v>5091.152</v>
      </c>
      <c r="D15" s="133">
        <v>5455.6350000000002</v>
      </c>
      <c r="E15" s="133">
        <v>5172.7340000000004</v>
      </c>
      <c r="F15" s="133">
        <v>5126.2</v>
      </c>
      <c r="G15" s="133">
        <v>4950.9750000000004</v>
      </c>
      <c r="H15" s="133">
        <v>5342.2349999999997</v>
      </c>
      <c r="I15" s="134">
        <v>5761.4350000000004</v>
      </c>
      <c r="J15" s="133">
        <v>5691.11</v>
      </c>
      <c r="K15" s="133">
        <v>5631.0349999999999</v>
      </c>
      <c r="L15" s="133">
        <v>5284.8130000000001</v>
      </c>
      <c r="M15" s="133">
        <v>6012.7280000000001</v>
      </c>
    </row>
    <row r="16" spans="1:13" ht="11.4" customHeight="1" x14ac:dyDescent="0.3"/>
    <row r="17" spans="1:13" x14ac:dyDescent="0.3">
      <c r="A17" s="127" t="s">
        <v>199</v>
      </c>
    </row>
    <row r="18" spans="1:13" x14ac:dyDescent="0.3">
      <c r="A18" s="127" t="s">
        <v>200</v>
      </c>
      <c r="B18" s="126" t="s">
        <v>201</v>
      </c>
    </row>
    <row r="19" spans="1:13" ht="11.4" customHeight="1" x14ac:dyDescent="0.3"/>
    <row r="20" spans="1:13" ht="11.4" customHeight="1" x14ac:dyDescent="0.3"/>
    <row r="21" spans="1:13" x14ac:dyDescent="0.3">
      <c r="A21" s="126" t="s">
        <v>202</v>
      </c>
    </row>
    <row r="22" spans="1:13" x14ac:dyDescent="0.3">
      <c r="A22" s="126" t="s">
        <v>182</v>
      </c>
      <c r="B22" s="127" t="s">
        <v>183</v>
      </c>
    </row>
    <row r="23" spans="1:13" x14ac:dyDescent="0.3">
      <c r="A23" s="126" t="s">
        <v>184</v>
      </c>
      <c r="B23" s="126" t="s">
        <v>185</v>
      </c>
    </row>
    <row r="25" spans="1:13" x14ac:dyDescent="0.3">
      <c r="A25" s="127" t="s">
        <v>186</v>
      </c>
      <c r="C25" s="126" t="s">
        <v>187</v>
      </c>
    </row>
    <row r="26" spans="1:13" x14ac:dyDescent="0.3">
      <c r="A26" s="127" t="s">
        <v>188</v>
      </c>
      <c r="C26" s="126" t="s">
        <v>189</v>
      </c>
    </row>
    <row r="27" spans="1:13" x14ac:dyDescent="0.3">
      <c r="A27" s="127" t="s">
        <v>190</v>
      </c>
      <c r="C27" s="126" t="s">
        <v>140</v>
      </c>
    </row>
    <row r="28" spans="1:13" x14ac:dyDescent="0.3">
      <c r="A28" s="127" t="s">
        <v>192</v>
      </c>
      <c r="C28" s="126" t="s">
        <v>193</v>
      </c>
    </row>
    <row r="30" spans="1:13" x14ac:dyDescent="0.3">
      <c r="A30" s="128" t="s">
        <v>194</v>
      </c>
      <c r="B30" s="129" t="s">
        <v>195</v>
      </c>
      <c r="C30" s="129" t="s">
        <v>196</v>
      </c>
      <c r="D30" s="129" t="s">
        <v>87</v>
      </c>
      <c r="E30" s="129" t="s">
        <v>88</v>
      </c>
      <c r="F30" s="129" t="s">
        <v>89</v>
      </c>
      <c r="G30" s="129" t="s">
        <v>90</v>
      </c>
      <c r="H30" s="129" t="s">
        <v>91</v>
      </c>
      <c r="I30" s="129" t="s">
        <v>92</v>
      </c>
      <c r="J30" s="129" t="s">
        <v>93</v>
      </c>
      <c r="K30" s="129" t="s">
        <v>94</v>
      </c>
      <c r="L30" s="129" t="s">
        <v>95</v>
      </c>
      <c r="M30" s="129" t="s">
        <v>96</v>
      </c>
    </row>
    <row r="31" spans="1:13" x14ac:dyDescent="0.3">
      <c r="A31" s="130" t="s">
        <v>197</v>
      </c>
      <c r="B31" s="137" t="s">
        <v>198</v>
      </c>
      <c r="C31" s="137" t="s">
        <v>198</v>
      </c>
      <c r="D31" s="137" t="s">
        <v>198</v>
      </c>
      <c r="E31" s="137" t="s">
        <v>198</v>
      </c>
      <c r="F31" s="137" t="s">
        <v>198</v>
      </c>
      <c r="G31" s="137" t="s">
        <v>198</v>
      </c>
      <c r="H31" s="137" t="s">
        <v>198</v>
      </c>
      <c r="I31" s="137" t="s">
        <v>198</v>
      </c>
      <c r="J31" s="137" t="s">
        <v>198</v>
      </c>
      <c r="K31" s="137" t="s">
        <v>198</v>
      </c>
      <c r="L31" s="137" t="s">
        <v>198</v>
      </c>
      <c r="M31" s="137" t="s">
        <v>198</v>
      </c>
    </row>
    <row r="32" spans="1:13" x14ac:dyDescent="0.3">
      <c r="A32" s="131" t="s">
        <v>67</v>
      </c>
      <c r="B32" s="132">
        <v>54.901000000000003</v>
      </c>
      <c r="C32" s="132">
        <v>51.677</v>
      </c>
      <c r="D32" s="132">
        <v>55.331000000000003</v>
      </c>
      <c r="E32" s="132">
        <v>52.279000000000003</v>
      </c>
      <c r="F32" s="132">
        <v>52.213999999999999</v>
      </c>
      <c r="G32" s="132">
        <v>49.311999999999998</v>
      </c>
      <c r="H32" s="132">
        <v>57.868000000000002</v>
      </c>
      <c r="I32" s="132">
        <v>53.814</v>
      </c>
      <c r="J32" s="132">
        <v>54.969000000000001</v>
      </c>
      <c r="K32" s="132">
        <v>57.758000000000003</v>
      </c>
      <c r="L32" s="132">
        <v>56.167000000000002</v>
      </c>
      <c r="M32" s="132">
        <v>60.302999999999997</v>
      </c>
    </row>
    <row r="33" spans="1:13" x14ac:dyDescent="0.3">
      <c r="A33" s="131" t="s">
        <v>68</v>
      </c>
      <c r="B33" s="133">
        <v>124.441</v>
      </c>
      <c r="C33" s="133">
        <v>106.836</v>
      </c>
      <c r="D33" s="133">
        <v>106.81399999999999</v>
      </c>
      <c r="E33" s="133">
        <v>101.69799999999999</v>
      </c>
      <c r="F33" s="133">
        <v>101.333</v>
      </c>
      <c r="G33" s="133">
        <v>98.087000000000003</v>
      </c>
      <c r="H33" s="133">
        <v>106.36199999999999</v>
      </c>
      <c r="I33" s="133">
        <v>111.346</v>
      </c>
      <c r="J33" s="133">
        <v>119.182</v>
      </c>
      <c r="K33" s="133">
        <v>110.732</v>
      </c>
      <c r="L33" s="133">
        <v>109.571</v>
      </c>
      <c r="M33" s="133">
        <v>115.401</v>
      </c>
    </row>
    <row r="34" spans="1:13" x14ac:dyDescent="0.3">
      <c r="A34" s="131" t="s">
        <v>69</v>
      </c>
      <c r="B34" s="132">
        <v>158.38300000000001</v>
      </c>
      <c r="C34" s="132">
        <v>144.77600000000001</v>
      </c>
      <c r="D34" s="132">
        <v>135.42599999999999</v>
      </c>
      <c r="E34" s="132">
        <v>123.173</v>
      </c>
      <c r="F34" s="132">
        <v>119.991</v>
      </c>
      <c r="G34" s="132">
        <v>122.678</v>
      </c>
      <c r="H34" s="132">
        <v>145.464</v>
      </c>
      <c r="I34" s="132">
        <v>153.785</v>
      </c>
      <c r="J34" s="132">
        <v>164.72399999999999</v>
      </c>
      <c r="K34" s="132">
        <v>160.85900000000001</v>
      </c>
      <c r="L34" s="132">
        <v>174.375</v>
      </c>
      <c r="M34" s="132">
        <v>219.905</v>
      </c>
    </row>
    <row r="35" spans="1:13" x14ac:dyDescent="0.3">
      <c r="A35" s="131" t="s">
        <v>70</v>
      </c>
      <c r="B35" s="133">
        <v>46.043999999999997</v>
      </c>
      <c r="C35" s="133">
        <v>30.933</v>
      </c>
      <c r="D35" s="133">
        <v>33.319000000000003</v>
      </c>
      <c r="E35" s="133">
        <v>29.449000000000002</v>
      </c>
      <c r="F35" s="133">
        <v>28.675999999999998</v>
      </c>
      <c r="G35" s="133">
        <v>25.364999999999998</v>
      </c>
      <c r="H35" s="133">
        <v>26.225999999999999</v>
      </c>
      <c r="I35" s="134">
        <v>25.9</v>
      </c>
      <c r="J35" s="133">
        <v>24.507999999999999</v>
      </c>
      <c r="K35" s="133">
        <v>26.658000000000001</v>
      </c>
      <c r="L35" s="133">
        <v>23.949000000000002</v>
      </c>
      <c r="M35" s="133">
        <v>31.925000000000001</v>
      </c>
    </row>
    <row r="36" spans="1:13" ht="11.4" customHeight="1" x14ac:dyDescent="0.3"/>
    <row r="37" spans="1:13" x14ac:dyDescent="0.3">
      <c r="A37" s="127" t="s">
        <v>199</v>
      </c>
    </row>
    <row r="38" spans="1:13" x14ac:dyDescent="0.3">
      <c r="A38" s="127" t="s">
        <v>200</v>
      </c>
      <c r="B38" s="126" t="s">
        <v>201</v>
      </c>
    </row>
    <row r="39" spans="1:13" ht="11.4" customHeight="1" x14ac:dyDescent="0.3"/>
    <row r="40" spans="1:13" ht="11.4" customHeight="1" x14ac:dyDescent="0.3"/>
    <row r="41" spans="1:13" ht="11.4" customHeight="1" x14ac:dyDescent="0.3"/>
    <row r="42" spans="1:13" x14ac:dyDescent="0.3">
      <c r="A42" s="138" t="s">
        <v>194</v>
      </c>
      <c r="B42" s="138" t="s">
        <v>195</v>
      </c>
      <c r="C42" s="138" t="s">
        <v>196</v>
      </c>
      <c r="D42" s="138" t="s">
        <v>87</v>
      </c>
      <c r="E42" s="138" t="s">
        <v>88</v>
      </c>
      <c r="F42" s="138" t="s">
        <v>89</v>
      </c>
      <c r="G42" s="138" t="s">
        <v>90</v>
      </c>
      <c r="H42" s="138" t="s">
        <v>91</v>
      </c>
      <c r="I42" s="138" t="s">
        <v>92</v>
      </c>
      <c r="J42" s="138" t="s">
        <v>93</v>
      </c>
      <c r="K42" s="138" t="s">
        <v>94</v>
      </c>
      <c r="L42" s="138" t="s">
        <v>95</v>
      </c>
      <c r="M42" s="138" t="s">
        <v>96</v>
      </c>
    </row>
    <row r="43" spans="1:13" x14ac:dyDescent="0.3">
      <c r="A43" s="131" t="s">
        <v>67</v>
      </c>
      <c r="B43" s="135">
        <f>B32/B12</f>
        <v>5.3465504665242899E-2</v>
      </c>
      <c r="C43" s="135">
        <f t="shared" ref="C43:M43" si="0">C32/C12</f>
        <v>5.5254567480671E-2</v>
      </c>
      <c r="D43" s="135">
        <f t="shared" si="0"/>
        <v>5.6993617819016351E-2</v>
      </c>
      <c r="E43" s="135">
        <f t="shared" si="0"/>
        <v>5.6002853757769103E-2</v>
      </c>
      <c r="F43" s="135">
        <f t="shared" si="0"/>
        <v>5.8790082227749355E-2</v>
      </c>
      <c r="G43" s="135">
        <f t="shared" si="0"/>
        <v>5.7511064978686431E-2</v>
      </c>
      <c r="H43" s="135">
        <f t="shared" si="0"/>
        <v>6.2185007597428697E-2</v>
      </c>
      <c r="I43" s="135">
        <f t="shared" si="0"/>
        <v>5.7193324788450378E-2</v>
      </c>
      <c r="J43" s="135">
        <f t="shared" si="0"/>
        <v>5.8413653124767546E-2</v>
      </c>
      <c r="K43" s="135">
        <f t="shared" si="0"/>
        <v>6.071302431968785E-2</v>
      </c>
      <c r="L43" s="135">
        <f t="shared" si="0"/>
        <v>5.9457119145008175E-2</v>
      </c>
      <c r="M43" s="135">
        <f t="shared" si="0"/>
        <v>6.247714206678194E-2</v>
      </c>
    </row>
    <row r="44" spans="1:13" x14ac:dyDescent="0.3">
      <c r="A44" s="131" t="s">
        <v>68</v>
      </c>
      <c r="B44" s="135">
        <f t="shared" ref="B44:M44" si="1">B33/B13</f>
        <v>8.9596480680824112E-2</v>
      </c>
      <c r="C44" s="135">
        <f t="shared" si="1"/>
        <v>8.0485825933467883E-2</v>
      </c>
      <c r="D44" s="135">
        <f t="shared" si="1"/>
        <v>7.7612916351799094E-2</v>
      </c>
      <c r="E44" s="135">
        <f t="shared" si="1"/>
        <v>8.0251443686367718E-2</v>
      </c>
      <c r="F44" s="135">
        <f t="shared" si="1"/>
        <v>8.182105192612503E-2</v>
      </c>
      <c r="G44" s="135">
        <f t="shared" si="1"/>
        <v>8.8719787406090184E-2</v>
      </c>
      <c r="H44" s="135">
        <f t="shared" si="1"/>
        <v>9.3015812215835297E-2</v>
      </c>
      <c r="I44" s="135">
        <f t="shared" si="1"/>
        <v>9.3129497726672048E-2</v>
      </c>
      <c r="J44" s="135">
        <f t="shared" si="1"/>
        <v>9.6816513932879447E-2</v>
      </c>
      <c r="K44" s="135">
        <f t="shared" si="1"/>
        <v>9.3211343412737888E-2</v>
      </c>
      <c r="L44" s="135">
        <f t="shared" si="1"/>
        <v>9.8237708518997352E-2</v>
      </c>
      <c r="M44" s="135">
        <f t="shared" si="1"/>
        <v>9.5931189503190475E-2</v>
      </c>
    </row>
    <row r="45" spans="1:13" x14ac:dyDescent="0.3">
      <c r="A45" s="131" t="s">
        <v>69</v>
      </c>
      <c r="B45" s="135">
        <f t="shared" ref="B45:M45" si="2">B34/B14</f>
        <v>9.9410877118984511E-2</v>
      </c>
      <c r="C45" s="135">
        <f t="shared" si="2"/>
        <v>9.4488538428554369E-2</v>
      </c>
      <c r="D45" s="135">
        <f t="shared" si="2"/>
        <v>8.8237018812899151E-2</v>
      </c>
      <c r="E45" s="135">
        <f t="shared" si="2"/>
        <v>8.3951177686992479E-2</v>
      </c>
      <c r="F45" s="135">
        <f t="shared" si="2"/>
        <v>8.5652794632022272E-2</v>
      </c>
      <c r="G45" s="135">
        <f t="shared" si="2"/>
        <v>9.026208658326533E-2</v>
      </c>
      <c r="H45" s="135">
        <f t="shared" si="2"/>
        <v>0.10149517412300073</v>
      </c>
      <c r="I45" s="135">
        <f t="shared" si="2"/>
        <v>0.10566699693686983</v>
      </c>
      <c r="J45" s="135">
        <f t="shared" si="2"/>
        <v>0.1089728408064006</v>
      </c>
      <c r="K45" s="135">
        <f t="shared" si="2"/>
        <v>0.11115364602947671</v>
      </c>
      <c r="L45" s="135">
        <f t="shared" si="2"/>
        <v>0.12165462852693773</v>
      </c>
      <c r="M45" s="135">
        <f t="shared" si="2"/>
        <v>0.13493637455865948</v>
      </c>
    </row>
    <row r="46" spans="1:13" x14ac:dyDescent="0.3">
      <c r="A46" s="131" t="s">
        <v>70</v>
      </c>
      <c r="B46" s="135">
        <f t="shared" ref="B46:M46" si="3">B35/B15</f>
        <v>7.9231186981058438E-3</v>
      </c>
      <c r="C46" s="135">
        <f t="shared" si="3"/>
        <v>6.0758350958682828E-3</v>
      </c>
      <c r="D46" s="135">
        <f t="shared" si="3"/>
        <v>6.1072634074676923E-3</v>
      </c>
      <c r="E46" s="135">
        <f t="shared" si="3"/>
        <v>5.6931208911960287E-3</v>
      </c>
      <c r="F46" s="135">
        <f t="shared" si="3"/>
        <v>5.5940072568374235E-3</v>
      </c>
      <c r="G46" s="135">
        <f t="shared" si="3"/>
        <v>5.123233302531319E-3</v>
      </c>
      <c r="H46" s="135">
        <f t="shared" si="3"/>
        <v>4.9091812696371463E-3</v>
      </c>
      <c r="I46" s="135">
        <f t="shared" si="3"/>
        <v>4.4954078280844958E-3</v>
      </c>
      <c r="J46" s="135">
        <f t="shared" si="3"/>
        <v>4.3063655420471575E-3</v>
      </c>
      <c r="K46" s="135">
        <f t="shared" si="3"/>
        <v>4.7341208143795947E-3</v>
      </c>
      <c r="L46" s="135">
        <f t="shared" si="3"/>
        <v>4.5316646019452345E-3</v>
      </c>
      <c r="M46" s="135">
        <f t="shared" si="3"/>
        <v>5.309569965579684E-3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56"/>
  <sheetViews>
    <sheetView showGridLines="0" zoomScale="130" zoomScaleNormal="130" workbookViewId="0">
      <selection activeCell="A4" sqref="A4:XFD6"/>
    </sheetView>
  </sheetViews>
  <sheetFormatPr defaultRowHeight="12" x14ac:dyDescent="0.35"/>
  <cols>
    <col min="1" max="3" width="4.25" customWidth="1"/>
    <col min="4" max="4" width="19.875" customWidth="1"/>
    <col min="5" max="5" width="10.75" customWidth="1"/>
    <col min="10" max="10" width="9.25"/>
    <col min="18" max="18" width="9.75" customWidth="1"/>
    <col min="21" max="21" width="10.375" customWidth="1"/>
    <col min="24" max="24" width="11" customWidth="1"/>
  </cols>
  <sheetData>
    <row r="2" spans="2:19" ht="16" thickBot="1" x14ac:dyDescent="0.4">
      <c r="B2" s="2" t="s">
        <v>0</v>
      </c>
      <c r="C2" s="2"/>
      <c r="D2" s="2"/>
      <c r="E2" s="2"/>
      <c r="F2" s="2"/>
      <c r="G2" s="2"/>
      <c r="H2" s="2"/>
      <c r="I2" s="2"/>
      <c r="J2" s="2"/>
      <c r="K2" s="2"/>
      <c r="L2" s="2"/>
      <c r="M2" s="2"/>
      <c r="N2" s="2"/>
      <c r="O2" s="2"/>
      <c r="P2" s="2"/>
      <c r="Q2" s="2"/>
      <c r="R2" s="2"/>
      <c r="S2" s="2"/>
    </row>
    <row r="3" spans="2:19" ht="12.5" thickTop="1" x14ac:dyDescent="0.35"/>
    <row r="4" spans="2:19" ht="15" thickBot="1" x14ac:dyDescent="0.4">
      <c r="C4" s="1" t="s">
        <v>1</v>
      </c>
      <c r="D4" s="1"/>
      <c r="E4" s="1"/>
      <c r="F4" s="1"/>
      <c r="G4" s="1"/>
      <c r="H4" s="1"/>
      <c r="I4" s="1"/>
      <c r="J4" s="1"/>
      <c r="K4" s="1"/>
      <c r="L4" s="1"/>
      <c r="M4" s="1"/>
      <c r="N4" s="1"/>
      <c r="O4" s="1"/>
      <c r="P4" s="1"/>
      <c r="Q4" s="1"/>
      <c r="R4" s="1"/>
      <c r="S4" s="1"/>
    </row>
    <row r="6" spans="2:19" ht="13.5" x14ac:dyDescent="0.35">
      <c r="D6" s="5" t="s">
        <v>2</v>
      </c>
      <c r="E6" s="5"/>
      <c r="F6" s="5"/>
      <c r="G6" s="5"/>
      <c r="H6" s="5"/>
      <c r="I6" s="5"/>
      <c r="J6" s="5"/>
      <c r="K6" s="5"/>
      <c r="L6" s="5"/>
      <c r="M6" s="5"/>
      <c r="N6" s="5"/>
      <c r="O6" s="5"/>
      <c r="P6" s="5"/>
      <c r="Q6" s="5"/>
      <c r="R6" s="5"/>
      <c r="S6" s="5"/>
    </row>
    <row r="10" spans="2:19" x14ac:dyDescent="0.35">
      <c r="D10" s="6" t="s">
        <v>9</v>
      </c>
      <c r="E10" s="6" t="s">
        <v>3</v>
      </c>
      <c r="F10" s="6" t="s">
        <v>4</v>
      </c>
      <c r="G10" s="6" t="s">
        <v>5</v>
      </c>
      <c r="H10" s="6" t="s">
        <v>6</v>
      </c>
      <c r="I10" s="6" t="s">
        <v>7</v>
      </c>
      <c r="J10" s="6" t="s">
        <v>8</v>
      </c>
    </row>
    <row r="11" spans="2:19" x14ac:dyDescent="0.35">
      <c r="D11" s="7">
        <v>2006</v>
      </c>
      <c r="E11" s="7">
        <v>4</v>
      </c>
      <c r="F11" s="7">
        <v>6</v>
      </c>
      <c r="G11" s="7">
        <v>3</v>
      </c>
      <c r="H11" s="7">
        <v>7</v>
      </c>
      <c r="I11" s="7">
        <v>8</v>
      </c>
      <c r="J11" s="7">
        <v>9</v>
      </c>
    </row>
    <row r="12" spans="2:19" x14ac:dyDescent="0.35">
      <c r="D12" s="7">
        <v>2007</v>
      </c>
      <c r="E12" s="7">
        <v>5</v>
      </c>
      <c r="F12" s="7">
        <v>23</v>
      </c>
      <c r="G12" s="7">
        <v>7</v>
      </c>
      <c r="H12" s="7">
        <v>23</v>
      </c>
      <c r="I12" s="7">
        <v>5</v>
      </c>
      <c r="J12" s="7">
        <v>9</v>
      </c>
    </row>
    <row r="13" spans="2:19" x14ac:dyDescent="0.35">
      <c r="D13" s="7">
        <v>2008</v>
      </c>
      <c r="E13" s="7">
        <v>6</v>
      </c>
      <c r="F13" s="7">
        <v>4</v>
      </c>
      <c r="G13" s="7">
        <v>6</v>
      </c>
      <c r="H13" s="7">
        <v>4</v>
      </c>
      <c r="I13" s="7">
        <v>8</v>
      </c>
      <c r="J13" s="7">
        <v>3</v>
      </c>
    </row>
    <row r="15" spans="2:19" x14ac:dyDescent="0.35">
      <c r="D15" t="s">
        <v>10</v>
      </c>
      <c r="N15" t="s">
        <v>11</v>
      </c>
    </row>
    <row r="17" customFormat="1" x14ac:dyDescent="0.35"/>
    <row r="18" customFormat="1" x14ac:dyDescent="0.35"/>
    <row r="19" customFormat="1" x14ac:dyDescent="0.35"/>
    <row r="20" customFormat="1" x14ac:dyDescent="0.35"/>
    <row r="21" customFormat="1" x14ac:dyDescent="0.35"/>
    <row r="22" customFormat="1" x14ac:dyDescent="0.35"/>
    <row r="24" customFormat="1" x14ac:dyDescent="0.35"/>
    <row r="30" customFormat="1" x14ac:dyDescent="0.35"/>
    <row r="35" spans="4:14" x14ac:dyDescent="0.35">
      <c r="D35" s="4"/>
    </row>
    <row r="36" spans="4:14" x14ac:dyDescent="0.35">
      <c r="N36" t="s">
        <v>12</v>
      </c>
    </row>
    <row r="49" spans="4:4" x14ac:dyDescent="0.35">
      <c r="D49" s="3"/>
    </row>
    <row r="56" spans="4:4" x14ac:dyDescent="0.35">
      <c r="D56" t="s">
        <v>13</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097D5-532A-4831-A153-A346AF134240}">
  <dimension ref="C2:T45"/>
  <sheetViews>
    <sheetView showGridLines="0" topLeftCell="A6" zoomScale="115" zoomScaleNormal="115" workbookViewId="0">
      <selection activeCell="D22" sqref="D22"/>
    </sheetView>
  </sheetViews>
  <sheetFormatPr defaultRowHeight="12" x14ac:dyDescent="0.35"/>
  <cols>
    <col min="1" max="2" width="3.375" customWidth="1"/>
    <col min="3" max="3" width="4.375" customWidth="1"/>
    <col min="4" max="4" width="20.125" customWidth="1"/>
    <col min="5" max="5" width="15.125" customWidth="1"/>
    <col min="6" max="6" width="12.875" customWidth="1"/>
    <col min="7" max="14" width="9.25"/>
  </cols>
  <sheetData>
    <row r="2" spans="3:20" ht="16" thickBot="1" x14ac:dyDescent="0.4">
      <c r="C2" s="2" t="s">
        <v>20</v>
      </c>
      <c r="D2" s="2"/>
      <c r="E2" s="2"/>
      <c r="F2" s="2"/>
      <c r="G2" s="2"/>
      <c r="H2" s="2"/>
      <c r="I2" s="2"/>
      <c r="J2" s="2"/>
      <c r="K2" s="2"/>
      <c r="L2" s="2"/>
      <c r="M2" s="2"/>
      <c r="N2" s="2"/>
      <c r="O2" s="2"/>
      <c r="P2" s="2"/>
      <c r="Q2" s="2"/>
      <c r="R2" s="2"/>
      <c r="S2" s="2"/>
      <c r="T2" s="2"/>
    </row>
    <row r="3" spans="3:20" ht="12.5" thickTop="1" x14ac:dyDescent="0.35"/>
    <row r="4" spans="3:20" x14ac:dyDescent="0.35">
      <c r="D4" t="s">
        <v>21</v>
      </c>
      <c r="O4" s="28" t="s">
        <v>14</v>
      </c>
      <c r="P4" s="28"/>
      <c r="Q4" s="28"/>
      <c r="R4" s="28"/>
      <c r="S4" s="28"/>
      <c r="T4" s="28"/>
    </row>
    <row r="5" spans="3:20" x14ac:dyDescent="0.35">
      <c r="P5" t="s">
        <v>26</v>
      </c>
    </row>
    <row r="6" spans="3:20" x14ac:dyDescent="0.35">
      <c r="D6" t="s">
        <v>52</v>
      </c>
      <c r="O6" s="28"/>
      <c r="P6" s="29" t="s">
        <v>15</v>
      </c>
      <c r="Q6" s="30"/>
      <c r="R6" s="31"/>
      <c r="S6" s="32"/>
      <c r="T6" s="33" t="s">
        <v>16</v>
      </c>
    </row>
    <row r="7" spans="3:20" x14ac:dyDescent="0.35">
      <c r="O7" s="34" t="s">
        <v>17</v>
      </c>
      <c r="P7" s="34">
        <v>0</v>
      </c>
      <c r="Q7" s="35">
        <v>37.25</v>
      </c>
      <c r="R7" s="35">
        <v>74.5</v>
      </c>
      <c r="S7" s="35">
        <v>111.75</v>
      </c>
      <c r="T7" s="34">
        <v>149</v>
      </c>
    </row>
    <row r="8" spans="3:20" x14ac:dyDescent="0.35">
      <c r="E8" s="9" t="s">
        <v>22</v>
      </c>
      <c r="F8" s="9"/>
      <c r="G8" s="11" t="s">
        <v>23</v>
      </c>
      <c r="H8" s="10"/>
      <c r="O8" s="34" t="s">
        <v>18</v>
      </c>
      <c r="P8" s="34">
        <v>44</v>
      </c>
      <c r="Q8" s="35">
        <v>84.25</v>
      </c>
      <c r="R8" s="35">
        <v>124.5</v>
      </c>
      <c r="S8" s="35">
        <v>164.75</v>
      </c>
      <c r="T8" s="34">
        <v>205</v>
      </c>
    </row>
    <row r="9" spans="3:20" x14ac:dyDescent="0.35">
      <c r="D9" s="13" t="s">
        <v>24</v>
      </c>
      <c r="E9" s="12"/>
      <c r="F9" s="12"/>
      <c r="G9" s="12"/>
      <c r="H9" s="12"/>
      <c r="O9" s="34" t="s">
        <v>19</v>
      </c>
      <c r="P9" s="34">
        <v>84</v>
      </c>
      <c r="Q9" s="35">
        <v>126.75</v>
      </c>
      <c r="R9" s="35">
        <v>169.5</v>
      </c>
      <c r="S9" s="35">
        <v>212.25</v>
      </c>
      <c r="T9" s="34">
        <v>255</v>
      </c>
    </row>
    <row r="10" spans="3:20" x14ac:dyDescent="0.35">
      <c r="D10" s="12"/>
      <c r="E10" s="12"/>
      <c r="F10" s="12"/>
      <c r="G10" s="12"/>
      <c r="H10" s="12"/>
      <c r="O10" s="28"/>
      <c r="P10" s="28"/>
      <c r="Q10" s="28"/>
      <c r="R10" s="28"/>
      <c r="S10" s="28"/>
      <c r="T10" s="28"/>
    </row>
    <row r="11" spans="3:20" x14ac:dyDescent="0.35">
      <c r="D11" s="12"/>
      <c r="E11" s="12"/>
      <c r="F11" s="12"/>
      <c r="G11" s="12"/>
      <c r="H11" s="12"/>
      <c r="O11" s="28"/>
      <c r="P11" s="28"/>
      <c r="Q11" s="28"/>
      <c r="R11" s="28"/>
      <c r="S11" s="28"/>
      <c r="T11" s="28"/>
    </row>
    <row r="12" spans="3:20" x14ac:dyDescent="0.35">
      <c r="O12" s="28"/>
      <c r="P12" s="28" t="s">
        <v>14</v>
      </c>
      <c r="Q12" s="28"/>
      <c r="R12" s="28"/>
      <c r="S12" s="28"/>
      <c r="T12" s="28"/>
    </row>
    <row r="13" spans="3:20" x14ac:dyDescent="0.35">
      <c r="D13" s="7" t="s">
        <v>25</v>
      </c>
      <c r="E13" s="7" t="s">
        <v>27</v>
      </c>
      <c r="F13" s="7"/>
      <c r="G13" s="7"/>
      <c r="H13" s="7"/>
      <c r="O13" s="28"/>
      <c r="P13" s="36" t="s">
        <v>15</v>
      </c>
      <c r="Q13" s="37"/>
      <c r="R13" s="38"/>
      <c r="S13" s="39"/>
      <c r="T13" s="40" t="s">
        <v>16</v>
      </c>
    </row>
    <row r="14" spans="3:20" x14ac:dyDescent="0.35">
      <c r="O14" s="34" t="s">
        <v>17</v>
      </c>
      <c r="P14" s="34">
        <v>0</v>
      </c>
      <c r="Q14" s="35">
        <v>0</v>
      </c>
      <c r="R14" s="35">
        <v>0</v>
      </c>
      <c r="S14" s="35">
        <v>0</v>
      </c>
      <c r="T14" s="34">
        <v>0</v>
      </c>
    </row>
    <row r="15" spans="3:20" x14ac:dyDescent="0.35">
      <c r="D15" s="14" t="s">
        <v>43</v>
      </c>
      <c r="E15" t="s">
        <v>53</v>
      </c>
      <c r="O15" s="34" t="s">
        <v>18</v>
      </c>
      <c r="P15" s="34">
        <v>89</v>
      </c>
      <c r="Q15" s="35">
        <v>111.75</v>
      </c>
      <c r="R15" s="35">
        <v>134.5</v>
      </c>
      <c r="S15" s="35">
        <v>157.25</v>
      </c>
      <c r="T15" s="34">
        <v>180</v>
      </c>
    </row>
    <row r="16" spans="3:20" x14ac:dyDescent="0.35">
      <c r="D16" s="15" t="s">
        <v>44</v>
      </c>
      <c r="E16" t="s">
        <v>54</v>
      </c>
      <c r="O16" s="34" t="s">
        <v>19</v>
      </c>
      <c r="P16" s="34">
        <v>98</v>
      </c>
      <c r="Q16" s="35">
        <v>123.5</v>
      </c>
      <c r="R16" s="35">
        <v>149</v>
      </c>
      <c r="S16" s="35">
        <v>174.5</v>
      </c>
      <c r="T16" s="34">
        <v>200</v>
      </c>
    </row>
    <row r="17" spans="4:20" x14ac:dyDescent="0.35">
      <c r="D17" s="16" t="s">
        <v>45</v>
      </c>
      <c r="E17" t="s">
        <v>55</v>
      </c>
      <c r="O17" s="28"/>
      <c r="P17" s="28"/>
      <c r="Q17" s="28"/>
      <c r="R17" s="28"/>
      <c r="S17" s="28"/>
      <c r="T17" s="28"/>
    </row>
    <row r="18" spans="4:20" x14ac:dyDescent="0.35">
      <c r="O18" s="28"/>
      <c r="P18" s="28"/>
      <c r="Q18" s="28"/>
      <c r="R18" s="28"/>
      <c r="S18" s="28"/>
      <c r="T18" s="28"/>
    </row>
    <row r="19" spans="4:20" x14ac:dyDescent="0.35">
      <c r="D19" s="17" t="s">
        <v>46</v>
      </c>
      <c r="E19" t="s">
        <v>56</v>
      </c>
      <c r="O19" s="28"/>
      <c r="P19" s="28" t="s">
        <v>14</v>
      </c>
      <c r="Q19" s="28"/>
      <c r="R19" s="28"/>
      <c r="S19" s="28"/>
      <c r="T19" s="28"/>
    </row>
    <row r="20" spans="4:20" x14ac:dyDescent="0.35">
      <c r="O20" s="28"/>
      <c r="P20" s="41" t="s">
        <v>15</v>
      </c>
      <c r="Q20" s="42"/>
      <c r="R20" s="43"/>
      <c r="S20" s="44"/>
      <c r="T20" s="45" t="s">
        <v>16</v>
      </c>
    </row>
    <row r="21" spans="4:20" x14ac:dyDescent="0.35">
      <c r="D21" s="24" t="s">
        <v>47</v>
      </c>
      <c r="E21" t="s">
        <v>57</v>
      </c>
      <c r="O21" s="34" t="s">
        <v>17</v>
      </c>
      <c r="P21" s="34">
        <v>240</v>
      </c>
      <c r="Q21" s="35">
        <v>243</v>
      </c>
      <c r="R21" s="35">
        <v>246</v>
      </c>
      <c r="S21" s="35">
        <v>249</v>
      </c>
      <c r="T21" s="34">
        <v>252</v>
      </c>
    </row>
    <row r="22" spans="4:20" x14ac:dyDescent="0.35">
      <c r="D22" s="25" t="s">
        <v>48</v>
      </c>
      <c r="E22" t="s">
        <v>57</v>
      </c>
      <c r="O22" s="34" t="s">
        <v>18</v>
      </c>
      <c r="P22" s="34">
        <v>78</v>
      </c>
      <c r="Q22" s="35">
        <v>113.25</v>
      </c>
      <c r="R22" s="35">
        <v>148.5</v>
      </c>
      <c r="S22" s="35">
        <v>183.75</v>
      </c>
      <c r="T22" s="34">
        <v>219</v>
      </c>
    </row>
    <row r="23" spans="4:20" x14ac:dyDescent="0.35">
      <c r="D23" s="26" t="s">
        <v>49</v>
      </c>
      <c r="E23" t="s">
        <v>57</v>
      </c>
      <c r="O23" s="34" t="s">
        <v>19</v>
      </c>
      <c r="P23" s="34">
        <v>48</v>
      </c>
      <c r="Q23" s="35">
        <v>89.5</v>
      </c>
      <c r="R23" s="35">
        <v>131</v>
      </c>
      <c r="S23" s="35">
        <v>172.5</v>
      </c>
      <c r="T23" s="34">
        <v>214</v>
      </c>
    </row>
    <row r="24" spans="4:20" x14ac:dyDescent="0.35">
      <c r="D24" s="27" t="s">
        <v>50</v>
      </c>
      <c r="E24" t="s">
        <v>57</v>
      </c>
      <c r="O24" s="28"/>
      <c r="P24" s="28"/>
      <c r="Q24" s="28"/>
      <c r="R24" s="28"/>
      <c r="S24" s="28"/>
      <c r="T24" s="28"/>
    </row>
    <row r="25" spans="4:20" x14ac:dyDescent="0.35">
      <c r="D25" s="59" t="s">
        <v>65</v>
      </c>
      <c r="E25" t="s">
        <v>57</v>
      </c>
      <c r="O25" s="28"/>
      <c r="P25" s="28" t="s">
        <v>14</v>
      </c>
      <c r="Q25" s="28"/>
      <c r="R25" s="28"/>
      <c r="S25" s="28"/>
      <c r="T25" s="28"/>
    </row>
    <row r="26" spans="4:20" x14ac:dyDescent="0.35">
      <c r="O26" s="28"/>
      <c r="P26" s="46" t="s">
        <v>15</v>
      </c>
      <c r="Q26" s="47"/>
      <c r="R26" s="48"/>
      <c r="S26" s="49"/>
      <c r="T26" s="50" t="s">
        <v>16</v>
      </c>
    </row>
    <row r="27" spans="4:20" x14ac:dyDescent="0.35">
      <c r="E27" t="s">
        <v>40</v>
      </c>
      <c r="O27" s="34" t="s">
        <v>17</v>
      </c>
      <c r="P27" s="34">
        <v>178</v>
      </c>
      <c r="Q27" s="35">
        <v>193.25</v>
      </c>
      <c r="R27" s="35">
        <v>208.5</v>
      </c>
      <c r="S27" s="35">
        <v>223.75</v>
      </c>
      <c r="T27" s="34">
        <v>239</v>
      </c>
    </row>
    <row r="28" spans="4:20" x14ac:dyDescent="0.35">
      <c r="E28" t="s">
        <v>39</v>
      </c>
      <c r="O28" s="34" t="s">
        <v>18</v>
      </c>
      <c r="P28" s="34">
        <v>206</v>
      </c>
      <c r="Q28" s="35">
        <v>215.75</v>
      </c>
      <c r="R28" s="35">
        <v>225.5</v>
      </c>
      <c r="S28" s="35">
        <v>235.25</v>
      </c>
      <c r="T28" s="34">
        <v>245</v>
      </c>
    </row>
    <row r="29" spans="4:20" x14ac:dyDescent="0.35">
      <c r="E29" t="s">
        <v>41</v>
      </c>
      <c r="O29" s="34" t="s">
        <v>19</v>
      </c>
      <c r="P29" s="34">
        <v>205</v>
      </c>
      <c r="Q29" s="35">
        <v>215</v>
      </c>
      <c r="R29" s="35">
        <v>225</v>
      </c>
      <c r="S29" s="35">
        <v>235</v>
      </c>
      <c r="T29" s="34">
        <v>245</v>
      </c>
    </row>
    <row r="30" spans="4:20" x14ac:dyDescent="0.35">
      <c r="O30" s="28"/>
      <c r="P30" s="28"/>
      <c r="Q30" s="28"/>
      <c r="R30" s="28"/>
      <c r="S30" s="28"/>
      <c r="T30" s="28"/>
    </row>
    <row r="31" spans="4:20" x14ac:dyDescent="0.35">
      <c r="D31" s="55" t="s">
        <v>51</v>
      </c>
      <c r="E31" t="s">
        <v>58</v>
      </c>
      <c r="O31" s="28"/>
      <c r="P31" s="28" t="s">
        <v>14</v>
      </c>
      <c r="Q31" s="28"/>
      <c r="R31" s="28"/>
      <c r="S31" s="28"/>
      <c r="T31" s="28"/>
    </row>
    <row r="32" spans="4:20" x14ac:dyDescent="0.35">
      <c r="D32" s="56" t="s">
        <v>59</v>
      </c>
      <c r="E32" t="s">
        <v>60</v>
      </c>
      <c r="O32" s="28"/>
      <c r="P32" s="51" t="s">
        <v>15</v>
      </c>
      <c r="Q32" s="52"/>
      <c r="R32" s="53"/>
      <c r="S32" s="54"/>
      <c r="T32" s="8" t="s">
        <v>16</v>
      </c>
    </row>
    <row r="33" spans="4:20" x14ac:dyDescent="0.35">
      <c r="D33" s="57" t="s">
        <v>61</v>
      </c>
      <c r="E33" t="s">
        <v>62</v>
      </c>
      <c r="O33" s="34" t="s">
        <v>17</v>
      </c>
      <c r="P33" s="34">
        <v>255</v>
      </c>
      <c r="Q33" s="35">
        <v>217.25</v>
      </c>
      <c r="R33" s="35">
        <v>179.5</v>
      </c>
      <c r="S33" s="35">
        <v>141.75</v>
      </c>
      <c r="T33" s="34">
        <v>104</v>
      </c>
    </row>
    <row r="34" spans="4:20" x14ac:dyDescent="0.35">
      <c r="D34" s="58" t="s">
        <v>63</v>
      </c>
      <c r="E34" t="s">
        <v>64</v>
      </c>
      <c r="O34" s="34" t="s">
        <v>18</v>
      </c>
      <c r="P34" s="34">
        <v>227</v>
      </c>
      <c r="Q34" s="35">
        <v>187.75</v>
      </c>
      <c r="R34" s="35">
        <v>148.5</v>
      </c>
      <c r="S34" s="35">
        <v>109.25</v>
      </c>
      <c r="T34" s="34">
        <v>70</v>
      </c>
    </row>
    <row r="35" spans="4:20" x14ac:dyDescent="0.35">
      <c r="O35" s="34" t="s">
        <v>19</v>
      </c>
      <c r="P35" s="34">
        <v>166</v>
      </c>
      <c r="Q35" s="35">
        <v>124.5</v>
      </c>
      <c r="R35" s="35">
        <v>83</v>
      </c>
      <c r="S35" s="35">
        <v>41.5</v>
      </c>
      <c r="T35" s="34">
        <v>0</v>
      </c>
    </row>
    <row r="36" spans="4:20" x14ac:dyDescent="0.35">
      <c r="D36" t="s">
        <v>42</v>
      </c>
    </row>
    <row r="38" spans="4:20" ht="48" x14ac:dyDescent="0.35">
      <c r="E38" s="10" t="s">
        <v>28</v>
      </c>
      <c r="F38" s="10" t="s">
        <v>29</v>
      </c>
      <c r="G38" s="10" t="s">
        <v>34</v>
      </c>
      <c r="H38" s="10" t="s">
        <v>35</v>
      </c>
      <c r="I38" s="10" t="s">
        <v>33</v>
      </c>
      <c r="J38" s="10" t="s">
        <v>30</v>
      </c>
    </row>
    <row r="39" spans="4:20" x14ac:dyDescent="0.35">
      <c r="E39" s="13" t="s">
        <v>31</v>
      </c>
      <c r="F39" s="19">
        <v>75</v>
      </c>
      <c r="G39" s="19">
        <v>2</v>
      </c>
      <c r="H39" s="20">
        <f>F39*G39</f>
        <v>150</v>
      </c>
      <c r="I39" s="19">
        <v>3</v>
      </c>
      <c r="J39" s="21">
        <f>H39*I39</f>
        <v>450</v>
      </c>
    </row>
    <row r="40" spans="4:20" x14ac:dyDescent="0.35">
      <c r="E40" s="13" t="s">
        <v>32</v>
      </c>
      <c r="F40" s="19">
        <v>400</v>
      </c>
      <c r="G40" s="19">
        <v>2</v>
      </c>
      <c r="H40" s="20">
        <f t="shared" ref="H40:H41" si="0">F40*G40</f>
        <v>800</v>
      </c>
      <c r="I40" s="19">
        <v>1</v>
      </c>
      <c r="J40" s="21">
        <f t="shared" ref="J40:J41" si="1">H40*I40</f>
        <v>800</v>
      </c>
    </row>
    <row r="41" spans="4:20" x14ac:dyDescent="0.35">
      <c r="E41" s="13" t="s">
        <v>36</v>
      </c>
      <c r="F41" s="19">
        <v>500</v>
      </c>
      <c r="G41" s="19">
        <v>1</v>
      </c>
      <c r="H41" s="20">
        <f t="shared" si="0"/>
        <v>500</v>
      </c>
      <c r="I41" s="19">
        <v>2</v>
      </c>
      <c r="J41" s="21">
        <f t="shared" si="1"/>
        <v>1000</v>
      </c>
    </row>
    <row r="42" spans="4:20" x14ac:dyDescent="0.35">
      <c r="E42" s="12"/>
      <c r="F42" s="19"/>
      <c r="G42" s="19"/>
      <c r="H42" s="19"/>
      <c r="I42" s="19"/>
      <c r="J42" s="19"/>
    </row>
    <row r="43" spans="4:20" x14ac:dyDescent="0.35">
      <c r="E43" s="18" t="s">
        <v>38</v>
      </c>
      <c r="F43" s="19"/>
      <c r="G43" s="19"/>
      <c r="H43" s="19"/>
      <c r="I43" s="19"/>
      <c r="J43" s="22">
        <f>SUM(J39:J42)</f>
        <v>2250</v>
      </c>
    </row>
    <row r="44" spans="4:20" x14ac:dyDescent="0.35">
      <c r="E44" s="13" t="s">
        <v>37</v>
      </c>
      <c r="F44" s="19"/>
      <c r="G44" s="19"/>
      <c r="H44" s="19"/>
      <c r="I44" s="19"/>
      <c r="J44" s="19">
        <v>2500</v>
      </c>
    </row>
    <row r="45" spans="4:20" x14ac:dyDescent="0.35">
      <c r="E45" s="12" t="s">
        <v>30</v>
      </c>
      <c r="F45" s="19"/>
      <c r="G45" s="19"/>
      <c r="H45" s="19"/>
      <c r="I45" s="19"/>
      <c r="J45" s="23">
        <f>J43+J44</f>
        <v>4750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3FFB-B961-45D2-BE62-91C18D51DE5C}">
  <dimension ref="B2:S23"/>
  <sheetViews>
    <sheetView workbookViewId="0">
      <selection activeCell="D6" sqref="D6"/>
    </sheetView>
  </sheetViews>
  <sheetFormatPr defaultRowHeight="12" x14ac:dyDescent="0.35"/>
  <cols>
    <col min="3" max="3" width="13.625" customWidth="1"/>
    <col min="4" max="13" width="14.25" customWidth="1"/>
  </cols>
  <sheetData>
    <row r="2" spans="2:19" ht="16" thickBot="1" x14ac:dyDescent="0.4">
      <c r="B2" s="2" t="s">
        <v>85</v>
      </c>
      <c r="C2" s="2"/>
      <c r="D2" s="2"/>
      <c r="E2" s="2"/>
      <c r="F2" s="2"/>
      <c r="G2" s="2"/>
      <c r="H2" s="2"/>
      <c r="I2" s="2"/>
      <c r="J2" s="2"/>
      <c r="K2" s="2"/>
      <c r="L2" s="2"/>
      <c r="M2" s="2"/>
      <c r="N2" s="2"/>
      <c r="O2" s="2"/>
      <c r="P2" s="2"/>
      <c r="Q2" s="2"/>
      <c r="R2" s="2"/>
      <c r="S2" s="2"/>
    </row>
    <row r="3" spans="2:19" ht="12.5" thickTop="1" x14ac:dyDescent="0.35"/>
    <row r="4" spans="2:19" ht="15" thickBot="1" x14ac:dyDescent="0.4">
      <c r="C4" s="1" t="s">
        <v>86</v>
      </c>
      <c r="D4" s="1"/>
      <c r="E4" s="1"/>
      <c r="F4" s="1"/>
      <c r="G4" s="1"/>
      <c r="H4" s="1"/>
      <c r="I4" s="1"/>
      <c r="J4" s="1"/>
      <c r="K4" s="1"/>
      <c r="L4" s="1"/>
      <c r="M4" s="1"/>
      <c r="N4" s="1"/>
      <c r="O4" s="1"/>
      <c r="P4" s="1"/>
      <c r="Q4" s="1"/>
      <c r="R4" s="1"/>
      <c r="S4" s="1"/>
    </row>
    <row r="6" spans="2:19" ht="13.5" x14ac:dyDescent="0.35">
      <c r="D6" s="5" t="s">
        <v>98</v>
      </c>
      <c r="E6" s="5"/>
      <c r="F6" s="5"/>
      <c r="G6" s="5"/>
      <c r="H6" s="5"/>
      <c r="I6" s="5"/>
      <c r="J6" s="5"/>
      <c r="K6" s="5"/>
      <c r="L6" s="5"/>
      <c r="M6" s="5"/>
      <c r="N6" s="5"/>
      <c r="O6" s="5"/>
      <c r="P6" s="5"/>
      <c r="Q6" s="5"/>
      <c r="R6" s="5"/>
      <c r="S6" s="5"/>
    </row>
    <row r="8" spans="2:19" x14ac:dyDescent="0.35">
      <c r="C8" s="9"/>
      <c r="D8" s="9" t="s">
        <v>87</v>
      </c>
      <c r="E8" s="9" t="s">
        <v>88</v>
      </c>
      <c r="F8" s="9" t="s">
        <v>89</v>
      </c>
      <c r="G8" s="9" t="s">
        <v>90</v>
      </c>
      <c r="H8" s="9" t="s">
        <v>91</v>
      </c>
      <c r="I8" s="9" t="s">
        <v>92</v>
      </c>
      <c r="J8" s="9" t="s">
        <v>93</v>
      </c>
      <c r="K8" s="9" t="s">
        <v>94</v>
      </c>
      <c r="L8" s="9" t="s">
        <v>95</v>
      </c>
      <c r="M8" s="9" t="s">
        <v>96</v>
      </c>
    </row>
    <row r="9" spans="2:19" x14ac:dyDescent="0.35">
      <c r="C9" s="68" t="s">
        <v>67</v>
      </c>
      <c r="D9" s="67">
        <v>970828</v>
      </c>
      <c r="E9" s="67">
        <v>933506</v>
      </c>
      <c r="F9" s="67">
        <v>888143</v>
      </c>
      <c r="G9" s="67">
        <v>857435</v>
      </c>
      <c r="H9" s="67">
        <v>930578</v>
      </c>
      <c r="I9" s="67">
        <v>940914</v>
      </c>
      <c r="J9" s="67">
        <v>941030</v>
      </c>
      <c r="K9" s="67">
        <v>951328</v>
      </c>
      <c r="L9" s="67">
        <v>944664</v>
      </c>
      <c r="M9" s="67">
        <v>965201</v>
      </c>
    </row>
    <row r="10" spans="2:19" x14ac:dyDescent="0.35">
      <c r="C10" s="68" t="s">
        <v>68</v>
      </c>
      <c r="D10" s="67">
        <v>1376240</v>
      </c>
      <c r="E10" s="67">
        <v>1267242</v>
      </c>
      <c r="F10" s="67">
        <v>1238471</v>
      </c>
      <c r="G10" s="67">
        <v>1105582</v>
      </c>
      <c r="H10" s="67">
        <v>1143483</v>
      </c>
      <c r="I10" s="67">
        <v>1195604</v>
      </c>
      <c r="J10" s="67">
        <v>1231009</v>
      </c>
      <c r="K10" s="67">
        <v>1187967</v>
      </c>
      <c r="L10" s="67">
        <v>1115366</v>
      </c>
      <c r="M10" s="67">
        <v>1202956</v>
      </c>
    </row>
    <row r="11" spans="2:19" x14ac:dyDescent="0.35">
      <c r="C11" s="68" t="s">
        <v>69</v>
      </c>
      <c r="D11" s="67">
        <v>1534798</v>
      </c>
      <c r="E11" s="67">
        <v>1467198</v>
      </c>
      <c r="F11" s="67">
        <v>1400900</v>
      </c>
      <c r="G11" s="67">
        <v>1359131</v>
      </c>
      <c r="H11" s="67">
        <v>1433211</v>
      </c>
      <c r="I11" s="67">
        <v>1455374</v>
      </c>
      <c r="J11" s="67">
        <v>1511606</v>
      </c>
      <c r="K11" s="67">
        <v>1447177</v>
      </c>
      <c r="L11" s="67">
        <v>1433361</v>
      </c>
      <c r="M11" s="67">
        <v>1629694</v>
      </c>
    </row>
    <row r="12" spans="2:19" x14ac:dyDescent="0.35">
      <c r="C12" s="68" t="s">
        <v>70</v>
      </c>
      <c r="D12" s="67">
        <v>5455635</v>
      </c>
      <c r="E12" s="67">
        <v>5172734</v>
      </c>
      <c r="F12" s="67">
        <v>5126200</v>
      </c>
      <c r="G12" s="67">
        <v>4950975</v>
      </c>
      <c r="H12" s="67">
        <v>5342235</v>
      </c>
      <c r="I12" s="67">
        <v>5761435</v>
      </c>
      <c r="J12" s="67">
        <v>5691110</v>
      </c>
      <c r="K12" s="67">
        <v>5631035</v>
      </c>
      <c r="L12" s="67">
        <v>5284813</v>
      </c>
      <c r="M12" s="67">
        <v>6012728</v>
      </c>
    </row>
    <row r="15" spans="2:19" x14ac:dyDescent="0.35">
      <c r="C15" s="68" t="s">
        <v>97</v>
      </c>
    </row>
    <row r="17" spans="3:19" ht="13.5" x14ac:dyDescent="0.35">
      <c r="D17" s="5" t="s">
        <v>99</v>
      </c>
      <c r="E17" s="5"/>
      <c r="F17" s="5"/>
      <c r="G17" s="5"/>
      <c r="H17" s="5"/>
      <c r="I17" s="5"/>
      <c r="J17" s="5"/>
      <c r="K17" s="5"/>
      <c r="L17" s="5"/>
      <c r="M17" s="5"/>
      <c r="N17" s="5"/>
      <c r="O17" s="5"/>
      <c r="P17" s="5"/>
      <c r="Q17" s="5"/>
      <c r="R17" s="5"/>
      <c r="S17" s="5"/>
    </row>
    <row r="19" spans="3:19" x14ac:dyDescent="0.35">
      <c r="C19" s="9"/>
      <c r="D19" s="9" t="s">
        <v>87</v>
      </c>
      <c r="E19" s="9" t="s">
        <v>88</v>
      </c>
      <c r="F19" s="9" t="s">
        <v>89</v>
      </c>
      <c r="G19" s="9" t="s">
        <v>90</v>
      </c>
      <c r="H19" s="9" t="s">
        <v>91</v>
      </c>
      <c r="I19" s="9" t="s">
        <v>92</v>
      </c>
      <c r="J19" s="9" t="s">
        <v>93</v>
      </c>
      <c r="K19" s="9" t="s">
        <v>94</v>
      </c>
      <c r="L19" s="9" t="s">
        <v>95</v>
      </c>
      <c r="M19" s="9" t="s">
        <v>96</v>
      </c>
    </row>
    <row r="20" spans="3:19" x14ac:dyDescent="0.35">
      <c r="C20" s="68" t="s">
        <v>67</v>
      </c>
      <c r="D20" s="69">
        <f>D9*0.00001163</f>
        <v>11.29072964</v>
      </c>
      <c r="E20" s="69">
        <f t="shared" ref="E20:M20" si="0">E9*0.00001163</f>
        <v>10.856674780000001</v>
      </c>
      <c r="F20" s="69">
        <f t="shared" si="0"/>
        <v>10.32910309</v>
      </c>
      <c r="G20" s="69">
        <f t="shared" si="0"/>
        <v>9.9719690500000002</v>
      </c>
      <c r="H20" s="69">
        <f t="shared" si="0"/>
        <v>10.82262214</v>
      </c>
      <c r="I20" s="69">
        <f t="shared" si="0"/>
        <v>10.94282982</v>
      </c>
      <c r="J20" s="69">
        <f t="shared" si="0"/>
        <v>10.944178900000001</v>
      </c>
      <c r="K20" s="69">
        <f t="shared" si="0"/>
        <v>11.063944640000001</v>
      </c>
      <c r="L20" s="69">
        <f t="shared" si="0"/>
        <v>10.98644232</v>
      </c>
      <c r="M20" s="69">
        <f t="shared" si="0"/>
        <v>11.22528763</v>
      </c>
    </row>
    <row r="21" spans="3:19" x14ac:dyDescent="0.35">
      <c r="C21" s="68" t="s">
        <v>68</v>
      </c>
      <c r="D21" s="69">
        <f t="shared" ref="D21:M23" si="1">D10*0.00001163</f>
        <v>16.005671200000002</v>
      </c>
      <c r="E21" s="69">
        <f t="shared" si="1"/>
        <v>14.73802446</v>
      </c>
      <c r="F21" s="69">
        <f t="shared" si="1"/>
        <v>14.403417730000001</v>
      </c>
      <c r="G21" s="69">
        <f t="shared" si="1"/>
        <v>12.857918660000001</v>
      </c>
      <c r="H21" s="69">
        <f t="shared" si="1"/>
        <v>13.298707290000001</v>
      </c>
      <c r="I21" s="69">
        <f t="shared" si="1"/>
        <v>13.90487452</v>
      </c>
      <c r="J21" s="69">
        <f t="shared" si="1"/>
        <v>14.316634670000001</v>
      </c>
      <c r="K21" s="69">
        <f t="shared" si="1"/>
        <v>13.816056210000001</v>
      </c>
      <c r="L21" s="69">
        <f t="shared" si="1"/>
        <v>12.971706580000001</v>
      </c>
      <c r="M21" s="69">
        <f t="shared" si="1"/>
        <v>13.99037828</v>
      </c>
    </row>
    <row r="22" spans="3:19" x14ac:dyDescent="0.35">
      <c r="C22" s="68" t="s">
        <v>69</v>
      </c>
      <c r="D22" s="69">
        <f t="shared" si="1"/>
        <v>17.849700739999999</v>
      </c>
      <c r="E22" s="69">
        <f t="shared" si="1"/>
        <v>17.06351274</v>
      </c>
      <c r="F22" s="69">
        <f t="shared" si="1"/>
        <v>16.292467000000002</v>
      </c>
      <c r="G22" s="69">
        <f t="shared" si="1"/>
        <v>15.80669353</v>
      </c>
      <c r="H22" s="69">
        <f t="shared" si="1"/>
        <v>16.668243929999999</v>
      </c>
      <c r="I22" s="69">
        <f t="shared" si="1"/>
        <v>16.925999619999999</v>
      </c>
      <c r="J22" s="69">
        <f t="shared" si="1"/>
        <v>17.57997778</v>
      </c>
      <c r="K22" s="69">
        <f t="shared" si="1"/>
        <v>16.830668510000002</v>
      </c>
      <c r="L22" s="69">
        <f t="shared" si="1"/>
        <v>16.66998843</v>
      </c>
      <c r="M22" s="69">
        <f t="shared" si="1"/>
        <v>18.953341220000002</v>
      </c>
    </row>
    <row r="23" spans="3:19" x14ac:dyDescent="0.35">
      <c r="C23" s="68" t="s">
        <v>70</v>
      </c>
      <c r="D23" s="69">
        <f t="shared" si="1"/>
        <v>63.449035049999999</v>
      </c>
      <c r="E23" s="69">
        <f t="shared" si="1"/>
        <v>60.158896420000005</v>
      </c>
      <c r="F23" s="69">
        <f t="shared" si="1"/>
        <v>59.617706000000005</v>
      </c>
      <c r="G23" s="69">
        <f t="shared" si="1"/>
        <v>57.579839249999999</v>
      </c>
      <c r="H23" s="69">
        <f t="shared" si="1"/>
        <v>62.130193050000003</v>
      </c>
      <c r="I23" s="69">
        <f t="shared" si="1"/>
        <v>67.005489050000008</v>
      </c>
      <c r="J23" s="69">
        <f t="shared" si="1"/>
        <v>66.187609300000005</v>
      </c>
      <c r="K23" s="69">
        <f t="shared" si="1"/>
        <v>65.488937050000004</v>
      </c>
      <c r="L23" s="69">
        <f t="shared" si="1"/>
        <v>61.462375190000003</v>
      </c>
      <c r="M23" s="69">
        <f t="shared" si="1"/>
        <v>69.928026639999999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B6C2B-3CEE-48D3-8E3A-7B43F63079DF}">
  <sheetPr>
    <tabColor theme="9"/>
  </sheetPr>
  <dimension ref="B2:W106"/>
  <sheetViews>
    <sheetView showGridLines="0" zoomScale="70" zoomScaleNormal="70" workbookViewId="0"/>
  </sheetViews>
  <sheetFormatPr defaultColWidth="9" defaultRowHeight="12" x14ac:dyDescent="0.35"/>
  <cols>
    <col min="1" max="1" width="9" style="257"/>
    <col min="2" max="2" width="12.375" style="257" customWidth="1"/>
    <col min="3" max="3" width="28.375" style="257" customWidth="1"/>
    <col min="4" max="4" width="19.125" style="257" customWidth="1"/>
    <col min="5" max="15" width="12.25" style="257" customWidth="1"/>
    <col min="16" max="26" width="12.625" style="257" customWidth="1"/>
    <col min="27" max="16384" width="9" style="257"/>
  </cols>
  <sheetData>
    <row r="2" spans="2:20" ht="16" thickBot="1" x14ac:dyDescent="0.4">
      <c r="B2" s="256" t="s">
        <v>179</v>
      </c>
      <c r="C2" s="256"/>
      <c r="D2" s="256"/>
      <c r="E2" s="256"/>
      <c r="F2" s="256"/>
      <c r="G2" s="256"/>
      <c r="H2" s="256"/>
      <c r="I2" s="256"/>
      <c r="J2" s="256"/>
      <c r="K2" s="256"/>
      <c r="L2" s="256"/>
      <c r="M2" s="256"/>
      <c r="N2" s="256"/>
      <c r="O2" s="256"/>
      <c r="P2" s="256"/>
      <c r="Q2" s="256"/>
      <c r="R2" s="256"/>
      <c r="S2" s="256"/>
      <c r="T2" s="256"/>
    </row>
    <row r="3" spans="2:20" ht="12.5" thickTop="1" x14ac:dyDescent="0.35"/>
    <row r="4" spans="2:20" ht="15" thickBot="1" x14ac:dyDescent="0.4">
      <c r="C4" s="258" t="s">
        <v>223</v>
      </c>
      <c r="D4" s="258"/>
      <c r="E4" s="258"/>
      <c r="F4" s="258"/>
      <c r="G4" s="258"/>
      <c r="H4" s="258"/>
      <c r="I4" s="258"/>
      <c r="J4" s="258"/>
      <c r="K4" s="258"/>
      <c r="L4" s="258"/>
      <c r="M4" s="258"/>
      <c r="N4" s="258"/>
      <c r="O4" s="258"/>
      <c r="P4" s="258"/>
      <c r="Q4" s="258"/>
      <c r="R4" s="258"/>
      <c r="S4" s="258"/>
      <c r="T4" s="258"/>
    </row>
    <row r="6" spans="2:20" ht="13.5" x14ac:dyDescent="0.35">
      <c r="E6" s="259" t="s">
        <v>326</v>
      </c>
      <c r="F6" s="259"/>
      <c r="G6" s="259"/>
      <c r="H6" s="259"/>
      <c r="I6" s="259"/>
      <c r="J6" s="259"/>
      <c r="K6" s="259"/>
      <c r="L6" s="259"/>
      <c r="M6" s="259"/>
      <c r="N6" s="259"/>
      <c r="O6" s="259"/>
      <c r="P6" s="259"/>
      <c r="Q6" s="259"/>
      <c r="R6" s="259"/>
      <c r="S6" s="259"/>
      <c r="T6" s="259"/>
    </row>
    <row r="8" spans="2:20" x14ac:dyDescent="0.35">
      <c r="C8" s="260"/>
      <c r="D8" s="260"/>
      <c r="E8" s="261">
        <v>2030</v>
      </c>
      <c r="F8" s="261"/>
      <c r="G8" s="261"/>
      <c r="H8" s="261"/>
      <c r="I8" s="261">
        <v>2040</v>
      </c>
      <c r="J8" s="261"/>
      <c r="K8" s="261"/>
      <c r="L8" s="261"/>
      <c r="M8" s="261">
        <v>2050</v>
      </c>
      <c r="N8" s="261"/>
      <c r="O8" s="261"/>
      <c r="P8" s="261"/>
    </row>
    <row r="9" spans="2:20" x14ac:dyDescent="0.35">
      <c r="C9" s="260"/>
      <c r="D9" s="260"/>
      <c r="E9" s="260" t="s">
        <v>67</v>
      </c>
      <c r="F9" s="260" t="s">
        <v>68</v>
      </c>
      <c r="G9" s="260" t="s">
        <v>69</v>
      </c>
      <c r="H9" s="260" t="s">
        <v>70</v>
      </c>
      <c r="I9" s="260" t="s">
        <v>67</v>
      </c>
      <c r="J9" s="260" t="s">
        <v>68</v>
      </c>
      <c r="K9" s="260" t="s">
        <v>69</v>
      </c>
      <c r="L9" s="260" t="s">
        <v>70</v>
      </c>
      <c r="M9" s="260" t="s">
        <v>67</v>
      </c>
      <c r="N9" s="260" t="s">
        <v>68</v>
      </c>
      <c r="O9" s="260" t="s">
        <v>69</v>
      </c>
      <c r="P9" s="260" t="s">
        <v>70</v>
      </c>
    </row>
    <row r="10" spans="2:20" x14ac:dyDescent="0.35">
      <c r="C10" s="262" t="s">
        <v>66</v>
      </c>
      <c r="D10" s="263"/>
      <c r="E10" s="264">
        <f>LCOE!C53</f>
        <v>114.94809777935153</v>
      </c>
      <c r="F10" s="264">
        <f>LCOE!D53</f>
        <v>114.44634934198162</v>
      </c>
      <c r="G10" s="264">
        <f>LCOE!E53</f>
        <v>112.09109387179174</v>
      </c>
      <c r="H10" s="264">
        <f>LCOE!F53</f>
        <v>109.66236325105382</v>
      </c>
      <c r="I10" s="264">
        <f>LCOE!G53</f>
        <v>119.01082550515839</v>
      </c>
      <c r="J10" s="264">
        <f>LCOE!H53</f>
        <v>120.75209350433163</v>
      </c>
      <c r="K10" s="264">
        <f>LCOE!I53</f>
        <v>116.45575511439276</v>
      </c>
      <c r="L10" s="264">
        <f>LCOE!J53</f>
        <v>104.2011926410089</v>
      </c>
      <c r="M10" s="264">
        <f>LCOE!K53</f>
        <v>124.80829681146481</v>
      </c>
      <c r="N10" s="264">
        <f>LCOE!L53</f>
        <v>127.78674002921123</v>
      </c>
      <c r="O10" s="264">
        <f>LCOE!M53</f>
        <v>120.1520147553635</v>
      </c>
      <c r="P10" s="264">
        <f>LCOE!N53</f>
        <v>98.189837170516043</v>
      </c>
    </row>
    <row r="11" spans="2:20" x14ac:dyDescent="0.35">
      <c r="C11" s="262" t="s">
        <v>71</v>
      </c>
      <c r="D11" s="263"/>
      <c r="E11" s="264">
        <f>LCOE!C54</f>
        <v>160.37304731015902</v>
      </c>
      <c r="F11" s="264">
        <f>LCOE!D54</f>
        <v>122.13899930033988</v>
      </c>
      <c r="G11" s="264">
        <f>LCOE!E54</f>
        <v>129.62061918194877</v>
      </c>
      <c r="H11" s="264">
        <f>LCOE!F54</f>
        <v>109.44650342576637</v>
      </c>
      <c r="I11" s="264">
        <f>LCOE!G54</f>
        <v>96.118894957040411</v>
      </c>
      <c r="J11" s="264">
        <f>LCOE!H54</f>
        <v>95.481312479531951</v>
      </c>
      <c r="K11" s="264">
        <f>LCOE!I54</f>
        <v>96.183174869253648</v>
      </c>
      <c r="L11" s="264">
        <f>LCOE!J54</f>
        <v>91.109949610589638</v>
      </c>
      <c r="M11" s="264">
        <f>LCOE!K54</f>
        <v>66.21551836421493</v>
      </c>
      <c r="N11" s="264">
        <f>LCOE!L54</f>
        <v>62.171298833321373</v>
      </c>
      <c r="O11" s="264">
        <f>LCOE!M54</f>
        <v>62.98553711981188</v>
      </c>
      <c r="P11" s="264">
        <f>LCOE!N54</f>
        <v>55.961053244424235</v>
      </c>
    </row>
    <row r="12" spans="2:20" x14ac:dyDescent="0.35">
      <c r="C12" s="262" t="s">
        <v>78</v>
      </c>
      <c r="D12" s="263"/>
      <c r="E12" s="264">
        <f>LCOE!C55</f>
        <v>117.68480066550677</v>
      </c>
      <c r="F12" s="264">
        <f>LCOE!D55</f>
        <v>116.10051015527114</v>
      </c>
      <c r="G12" s="264">
        <f>LCOE!E55</f>
        <v>114.77820679763508</v>
      </c>
      <c r="H12" s="264">
        <f>LCOE!F55</f>
        <v>110.23962558762094</v>
      </c>
      <c r="I12" s="264">
        <f>LCOE!G55</f>
        <v>114.52198375496499</v>
      </c>
      <c r="J12" s="264">
        <f>LCOE!H55</f>
        <v>119.21214592229622</v>
      </c>
      <c r="K12" s="264">
        <f>LCOE!I55</f>
        <v>113.71673056425236</v>
      </c>
      <c r="L12" s="264">
        <f>LCOE!J55</f>
        <v>98.002187877558939</v>
      </c>
      <c r="M12" s="264">
        <f>LCOE!K55</f>
        <v>95.087809122303952</v>
      </c>
      <c r="N12" s="264">
        <f>LCOE!L55</f>
        <v>85.767924002334297</v>
      </c>
      <c r="O12" s="264">
        <f>LCOE!M55</f>
        <v>95.335835854701443</v>
      </c>
      <c r="P12" s="264">
        <f>LCOE!N55</f>
        <v>107.01878838169283</v>
      </c>
    </row>
    <row r="13" spans="2:20" x14ac:dyDescent="0.35">
      <c r="C13" s="262" t="s">
        <v>79</v>
      </c>
      <c r="D13" s="263"/>
      <c r="E13" s="264">
        <f>LCOE!C56</f>
        <v>75.417571014062148</v>
      </c>
      <c r="F13" s="264">
        <f>LCOE!D56</f>
        <v>94.729236979590524</v>
      </c>
      <c r="G13" s="264">
        <f>LCOE!E56</f>
        <v>95.71192014436852</v>
      </c>
      <c r="H13" s="264">
        <f>LCOE!F56</f>
        <v>85.523932346534139</v>
      </c>
      <c r="I13" s="264">
        <f>LCOE!G56</f>
        <v>63.10760857801688</v>
      </c>
      <c r="J13" s="264">
        <f>LCOE!H56</f>
        <v>49.357932269491023</v>
      </c>
      <c r="K13" s="264">
        <f>LCOE!I56</f>
        <v>91.588956514105746</v>
      </c>
      <c r="L13" s="264">
        <f>LCOE!J56</f>
        <v>57.232215768379682</v>
      </c>
      <c r="M13" s="264">
        <f>LCOE!K56</f>
        <v>57.43845349682433</v>
      </c>
      <c r="N13" s="264">
        <f>LCOE!L56</f>
        <v>43.366837195776952</v>
      </c>
      <c r="O13" s="264">
        <f>LCOE!M56</f>
        <v>57.85062508664911</v>
      </c>
      <c r="P13" s="264">
        <f>LCOE!N56</f>
        <v>51.88700304190958</v>
      </c>
    </row>
    <row r="15" spans="2:20" ht="13.5" x14ac:dyDescent="0.35">
      <c r="E15" s="259" t="s">
        <v>327</v>
      </c>
      <c r="F15" s="259"/>
      <c r="G15" s="259"/>
      <c r="H15" s="259"/>
      <c r="I15" s="259"/>
      <c r="J15" s="259"/>
      <c r="K15" s="259"/>
      <c r="L15" s="259"/>
      <c r="M15" s="259"/>
      <c r="N15" s="259"/>
      <c r="O15" s="259"/>
      <c r="P15" s="259"/>
      <c r="Q15" s="259"/>
      <c r="R15" s="259"/>
      <c r="S15" s="259"/>
      <c r="T15" s="259"/>
    </row>
    <row r="17" spans="3:20" x14ac:dyDescent="0.35">
      <c r="C17" s="260"/>
      <c r="D17" s="260"/>
      <c r="E17" s="261">
        <v>2030</v>
      </c>
      <c r="F17" s="261"/>
      <c r="G17" s="261"/>
      <c r="H17" s="261"/>
      <c r="I17" s="261">
        <v>2040</v>
      </c>
      <c r="J17" s="261"/>
      <c r="K17" s="261"/>
      <c r="L17" s="261"/>
      <c r="M17" s="261">
        <v>2050</v>
      </c>
      <c r="N17" s="261"/>
      <c r="O17" s="261"/>
      <c r="P17" s="261"/>
    </row>
    <row r="18" spans="3:20" x14ac:dyDescent="0.35">
      <c r="C18" s="260"/>
      <c r="D18" s="260"/>
      <c r="E18" s="260" t="s">
        <v>67</v>
      </c>
      <c r="F18" s="260" t="s">
        <v>68</v>
      </c>
      <c r="G18" s="260" t="s">
        <v>69</v>
      </c>
      <c r="H18" s="260" t="s">
        <v>70</v>
      </c>
      <c r="I18" s="260" t="s">
        <v>67</v>
      </c>
      <c r="J18" s="260" t="s">
        <v>68</v>
      </c>
      <c r="K18" s="260" t="s">
        <v>69</v>
      </c>
      <c r="L18" s="260" t="s">
        <v>70</v>
      </c>
      <c r="M18" s="260" t="s">
        <v>67</v>
      </c>
      <c r="N18" s="260" t="s">
        <v>68</v>
      </c>
      <c r="O18" s="260" t="s">
        <v>69</v>
      </c>
      <c r="P18" s="260" t="s">
        <v>70</v>
      </c>
    </row>
    <row r="19" spans="3:20" x14ac:dyDescent="0.35">
      <c r="C19" s="262" t="s">
        <v>299</v>
      </c>
      <c r="D19" s="263"/>
      <c r="E19" s="264">
        <f>'Network tariffs'!E106</f>
        <v>12.703937853256809</v>
      </c>
      <c r="F19" s="264">
        <f>'Network tariffs'!F106</f>
        <v>21.499514994433419</v>
      </c>
      <c r="G19" s="264">
        <f>'Network tariffs'!G106</f>
        <v>13.261782863985811</v>
      </c>
      <c r="H19" s="264">
        <f>'Network tariffs'!H106</f>
        <v>6.5214553142124334</v>
      </c>
      <c r="I19" s="264">
        <f>'Network tariffs'!I106</f>
        <v>16.121497326487674</v>
      </c>
      <c r="J19" s="264">
        <f>'Network tariffs'!J106</f>
        <v>19.177637765382066</v>
      </c>
      <c r="K19" s="264">
        <f>'Network tariffs'!K106</f>
        <v>14.620134827867101</v>
      </c>
      <c r="L19" s="264">
        <f>'Network tariffs'!L106</f>
        <v>8.5839876285678756</v>
      </c>
      <c r="M19" s="264">
        <f>'Network tariffs'!M106</f>
        <v>17.889930298230166</v>
      </c>
      <c r="N19" s="264">
        <f>'Network tariffs'!N106</f>
        <v>20.330440789894009</v>
      </c>
      <c r="O19" s="264">
        <f>'Network tariffs'!O106</f>
        <v>13.471343414294264</v>
      </c>
      <c r="P19" s="264">
        <f>'Network tariffs'!P106</f>
        <v>9.7310344178058585</v>
      </c>
    </row>
    <row r="20" spans="3:20" x14ac:dyDescent="0.35">
      <c r="C20" s="262" t="s">
        <v>298</v>
      </c>
      <c r="D20" s="263"/>
      <c r="E20" s="264">
        <f>'Network tariffs'!E107</f>
        <v>64.334982847080326</v>
      </c>
      <c r="F20" s="264">
        <f>'Network tariffs'!F107</f>
        <v>108.80359383322805</v>
      </c>
      <c r="G20" s="264">
        <f>'Network tariffs'!G107</f>
        <v>82.416394090502862</v>
      </c>
      <c r="H20" s="264">
        <f>'Network tariffs'!H107</f>
        <v>33.219398730518932</v>
      </c>
      <c r="I20" s="264">
        <f>'Network tariffs'!I107</f>
        <v>81.642107033996751</v>
      </c>
      <c r="J20" s="264">
        <f>'Network tariffs'!J107</f>
        <v>97.053161926939296</v>
      </c>
      <c r="K20" s="264">
        <f>'Network tariffs'!K107</f>
        <v>90.857979352230103</v>
      </c>
      <c r="L20" s="264">
        <f>'Network tariffs'!L107</f>
        <v>43.725655393174257</v>
      </c>
      <c r="M20" s="264">
        <f>'Network tariffs'!M107</f>
        <v>90.5977636357092</v>
      </c>
      <c r="N20" s="264">
        <f>'Network tariffs'!N107</f>
        <v>102.88720572193611</v>
      </c>
      <c r="O20" s="264">
        <f>'Network tariffs'!O107</f>
        <v>83.718724635134791</v>
      </c>
      <c r="P20" s="264">
        <f>'Network tariffs'!P107</f>
        <v>49.568554380953287</v>
      </c>
    </row>
    <row r="22" spans="3:20" ht="13.5" x14ac:dyDescent="0.35">
      <c r="E22" s="259" t="s">
        <v>139</v>
      </c>
      <c r="F22" s="259"/>
      <c r="G22" s="259"/>
      <c r="H22" s="259"/>
      <c r="I22" s="259"/>
      <c r="J22" s="259"/>
      <c r="K22" s="259"/>
      <c r="L22" s="259"/>
      <c r="M22" s="259"/>
      <c r="N22" s="259"/>
      <c r="O22" s="259"/>
      <c r="P22" s="259"/>
      <c r="Q22" s="259"/>
      <c r="R22" s="259"/>
      <c r="S22" s="259"/>
      <c r="T22" s="259"/>
    </row>
    <row r="24" spans="3:20" x14ac:dyDescent="0.35">
      <c r="C24" s="260"/>
      <c r="D24" s="260"/>
      <c r="E24" s="261">
        <v>2030</v>
      </c>
      <c r="F24" s="261"/>
      <c r="G24" s="261"/>
      <c r="H24" s="261"/>
      <c r="I24" s="261">
        <v>2040</v>
      </c>
      <c r="J24" s="261"/>
      <c r="K24" s="261"/>
      <c r="L24" s="261"/>
      <c r="M24" s="261">
        <v>2050</v>
      </c>
      <c r="N24" s="261"/>
      <c r="O24" s="261"/>
      <c r="P24" s="261"/>
    </row>
    <row r="25" spans="3:20" x14ac:dyDescent="0.35">
      <c r="C25" s="260"/>
      <c r="D25" s="260"/>
      <c r="E25" s="260" t="s">
        <v>67</v>
      </c>
      <c r="F25" s="260" t="s">
        <v>68</v>
      </c>
      <c r="G25" s="260" t="s">
        <v>69</v>
      </c>
      <c r="H25" s="260" t="s">
        <v>70</v>
      </c>
      <c r="I25" s="260" t="s">
        <v>67</v>
      </c>
      <c r="J25" s="260" t="s">
        <v>68</v>
      </c>
      <c r="K25" s="260" t="s">
        <v>69</v>
      </c>
      <c r="L25" s="260" t="s">
        <v>70</v>
      </c>
      <c r="M25" s="260" t="s">
        <v>67</v>
      </c>
      <c r="N25" s="260" t="s">
        <v>68</v>
      </c>
      <c r="O25" s="260" t="s">
        <v>69</v>
      </c>
      <c r="P25" s="260" t="s">
        <v>70</v>
      </c>
    </row>
    <row r="26" spans="3:20" x14ac:dyDescent="0.35">
      <c r="C26" s="262" t="s">
        <v>303</v>
      </c>
      <c r="D26" s="263"/>
      <c r="E26" s="265">
        <f>Taxes!$F$12</f>
        <v>3.8519999999999692</v>
      </c>
      <c r="F26" s="265">
        <f>Taxes!$F$16</f>
        <v>0.53999999999999559</v>
      </c>
      <c r="G26" s="265">
        <f>Taxes!$F$14</f>
        <v>0.53999999999999559</v>
      </c>
      <c r="H26" s="265">
        <f>Taxes!$F$18</f>
        <v>23.353999999999999</v>
      </c>
      <c r="I26" s="265">
        <f>Taxes!$F$12</f>
        <v>3.8519999999999692</v>
      </c>
      <c r="J26" s="265">
        <f>Taxes!$F$16</f>
        <v>0.53999999999999559</v>
      </c>
      <c r="K26" s="265">
        <f>Taxes!$F$14</f>
        <v>0.53999999999999559</v>
      </c>
      <c r="L26" s="265">
        <f>Taxes!$F$18</f>
        <v>23.353999999999999</v>
      </c>
      <c r="M26" s="265">
        <f>Taxes!$F$12</f>
        <v>3.8519999999999692</v>
      </c>
      <c r="N26" s="265">
        <f>Taxes!$F$16</f>
        <v>0.53999999999999559</v>
      </c>
      <c r="O26" s="265">
        <f>Taxes!$F$14</f>
        <v>0.53999999999999559</v>
      </c>
      <c r="P26" s="265">
        <f>Taxes!$F$18</f>
        <v>23.353999999999999</v>
      </c>
    </row>
    <row r="27" spans="3:20" x14ac:dyDescent="0.35">
      <c r="C27" s="262" t="s">
        <v>304</v>
      </c>
      <c r="D27" s="263"/>
      <c r="E27" s="265">
        <f>Taxes!$F$13</f>
        <v>3.8519999999999692</v>
      </c>
      <c r="F27" s="265">
        <f>Taxes!$F$17</f>
        <v>1.6559999999999868</v>
      </c>
      <c r="G27" s="265">
        <f>Taxes!$F$15</f>
        <v>1.0799999999999912</v>
      </c>
      <c r="H27" s="265">
        <f>Taxes!$F$19</f>
        <v>23.353999999999999</v>
      </c>
      <c r="I27" s="265">
        <f>Taxes!$F$13</f>
        <v>3.8519999999999692</v>
      </c>
      <c r="J27" s="265">
        <f>Taxes!$F$17</f>
        <v>1.6559999999999868</v>
      </c>
      <c r="K27" s="265">
        <f>Taxes!$F$15</f>
        <v>1.0799999999999912</v>
      </c>
      <c r="L27" s="265">
        <f>Taxes!$F$19</f>
        <v>23.353999999999999</v>
      </c>
      <c r="M27" s="265">
        <f>Taxes!$F$13</f>
        <v>3.8519999999999692</v>
      </c>
      <c r="N27" s="265">
        <f>Taxes!$F$17</f>
        <v>1.6559999999999868</v>
      </c>
      <c r="O27" s="265">
        <f>Taxes!$F$15</f>
        <v>1.0799999999999912</v>
      </c>
      <c r="P27" s="265">
        <f>Taxes!$F$19</f>
        <v>23.353999999999999</v>
      </c>
    </row>
    <row r="28" spans="3:20" x14ac:dyDescent="0.35">
      <c r="C28" s="262" t="s">
        <v>141</v>
      </c>
      <c r="D28" s="263"/>
      <c r="E28" s="266">
        <f>Taxes!$G$13</f>
        <v>0.2</v>
      </c>
      <c r="F28" s="266">
        <f>Taxes!$G$17</f>
        <v>0.21</v>
      </c>
      <c r="G28" s="266">
        <f>Taxes!$G$15</f>
        <v>0.21</v>
      </c>
      <c r="H28" s="266">
        <f>Taxes!$G$19</f>
        <v>0.24</v>
      </c>
      <c r="I28" s="266">
        <f>Taxes!$G$13</f>
        <v>0.2</v>
      </c>
      <c r="J28" s="266">
        <f>Taxes!$G$17</f>
        <v>0.21</v>
      </c>
      <c r="K28" s="266">
        <f>Taxes!$G$15</f>
        <v>0.21</v>
      </c>
      <c r="L28" s="266">
        <f>Taxes!$G$19</f>
        <v>0.24</v>
      </c>
      <c r="M28" s="266">
        <f>Taxes!$G$13</f>
        <v>0.2</v>
      </c>
      <c r="N28" s="266">
        <f>Taxes!$G$17</f>
        <v>0.21</v>
      </c>
      <c r="O28" s="266">
        <f>Taxes!$G$15</f>
        <v>0.21</v>
      </c>
      <c r="P28" s="266">
        <f>Taxes!$G$19</f>
        <v>0.24</v>
      </c>
    </row>
    <row r="30" spans="3:20" ht="13.5" x14ac:dyDescent="0.35">
      <c r="E30" s="259" t="s">
        <v>334</v>
      </c>
      <c r="F30" s="259"/>
      <c r="G30" s="259"/>
      <c r="H30" s="259"/>
      <c r="I30" s="259"/>
      <c r="J30" s="259"/>
      <c r="K30" s="259"/>
      <c r="L30" s="259"/>
      <c r="M30" s="259"/>
      <c r="N30" s="259"/>
      <c r="O30" s="259"/>
      <c r="P30" s="259"/>
      <c r="Q30" s="259"/>
      <c r="R30" s="259"/>
      <c r="S30" s="259"/>
      <c r="T30" s="259"/>
    </row>
    <row r="32" spans="3:20" x14ac:dyDescent="0.35">
      <c r="C32" s="163" t="s">
        <v>328</v>
      </c>
    </row>
    <row r="33" spans="3:21" x14ac:dyDescent="0.35">
      <c r="C33" s="260"/>
      <c r="D33" s="260"/>
      <c r="E33" s="261">
        <v>2030</v>
      </c>
      <c r="F33" s="261"/>
      <c r="G33" s="261"/>
      <c r="H33" s="261"/>
      <c r="I33" s="261">
        <v>2040</v>
      </c>
      <c r="J33" s="261"/>
      <c r="K33" s="261"/>
      <c r="L33" s="261"/>
      <c r="M33" s="261">
        <v>2050</v>
      </c>
      <c r="N33" s="261"/>
      <c r="O33" s="261"/>
      <c r="P33" s="261"/>
    </row>
    <row r="34" spans="3:21" x14ac:dyDescent="0.35">
      <c r="C34" s="260"/>
      <c r="D34" s="260"/>
      <c r="E34" s="260" t="s">
        <v>67</v>
      </c>
      <c r="F34" s="260" t="s">
        <v>68</v>
      </c>
      <c r="G34" s="260" t="s">
        <v>69</v>
      </c>
      <c r="H34" s="260" t="s">
        <v>70</v>
      </c>
      <c r="I34" s="260" t="s">
        <v>67</v>
      </c>
      <c r="J34" s="260" t="s">
        <v>68</v>
      </c>
      <c r="K34" s="260" t="s">
        <v>69</v>
      </c>
      <c r="L34" s="260" t="s">
        <v>70</v>
      </c>
      <c r="M34" s="260" t="s">
        <v>67</v>
      </c>
      <c r="N34" s="260" t="s">
        <v>68</v>
      </c>
      <c r="O34" s="260" t="s">
        <v>69</v>
      </c>
      <c r="P34" s="260" t="s">
        <v>70</v>
      </c>
    </row>
    <row r="35" spans="3:21" x14ac:dyDescent="0.35">
      <c r="C35" s="267" t="s">
        <v>66</v>
      </c>
      <c r="D35" s="155" t="s">
        <v>262</v>
      </c>
      <c r="E35" s="156">
        <f>(E10+E27)*(1+E28)</f>
        <v>142.5601173352218</v>
      </c>
      <c r="F35" s="156">
        <f t="shared" ref="F35:P35" si="0">(F10+F27)*(1+F28)</f>
        <v>140.48384270379773</v>
      </c>
      <c r="G35" s="156">
        <f t="shared" si="0"/>
        <v>136.93702358486797</v>
      </c>
      <c r="H35" s="156">
        <f t="shared" si="0"/>
        <v>164.94029043130672</v>
      </c>
      <c r="I35" s="156">
        <f t="shared" si="0"/>
        <v>147.43539060619003</v>
      </c>
      <c r="J35" s="156">
        <f t="shared" si="0"/>
        <v>148.11379314024126</v>
      </c>
      <c r="K35" s="156">
        <f t="shared" si="0"/>
        <v>142.21826368841522</v>
      </c>
      <c r="L35" s="156">
        <f t="shared" si="0"/>
        <v>158.16843887485103</v>
      </c>
      <c r="M35" s="156">
        <f t="shared" si="0"/>
        <v>154.39235617375772</v>
      </c>
      <c r="N35" s="156">
        <f t="shared" si="0"/>
        <v>156.62571543534557</v>
      </c>
      <c r="O35" s="156">
        <f t="shared" si="0"/>
        <v>146.69073785398982</v>
      </c>
      <c r="P35" s="156">
        <f t="shared" si="0"/>
        <v>150.71435809143989</v>
      </c>
    </row>
    <row r="36" spans="3:21" x14ac:dyDescent="0.35">
      <c r="C36" s="268"/>
      <c r="D36" s="155" t="s">
        <v>228</v>
      </c>
      <c r="E36" s="156">
        <f>(E10+E26)</f>
        <v>118.8000977793515</v>
      </c>
      <c r="F36" s="156">
        <f t="shared" ref="F36:P36" si="1">(F10+F26)</f>
        <v>114.98634934198161</v>
      </c>
      <c r="G36" s="156">
        <f t="shared" si="1"/>
        <v>112.63109387179173</v>
      </c>
      <c r="H36" s="156">
        <f t="shared" si="1"/>
        <v>133.0163632510538</v>
      </c>
      <c r="I36" s="156">
        <f t="shared" si="1"/>
        <v>122.86282550515837</v>
      </c>
      <c r="J36" s="156">
        <f t="shared" si="1"/>
        <v>121.29209350433162</v>
      </c>
      <c r="K36" s="156">
        <f t="shared" si="1"/>
        <v>116.99575511439275</v>
      </c>
      <c r="L36" s="156">
        <f t="shared" si="1"/>
        <v>127.5551926410089</v>
      </c>
      <c r="M36" s="156">
        <f t="shared" si="1"/>
        <v>128.66029681146478</v>
      </c>
      <c r="N36" s="156">
        <f t="shared" si="1"/>
        <v>128.32674002921124</v>
      </c>
      <c r="O36" s="156">
        <f t="shared" si="1"/>
        <v>120.69201475536349</v>
      </c>
      <c r="P36" s="156">
        <f t="shared" si="1"/>
        <v>121.54383717051604</v>
      </c>
    </row>
    <row r="37" spans="3:21" x14ac:dyDescent="0.35">
      <c r="C37" s="267" t="s">
        <v>71</v>
      </c>
      <c r="D37" s="155" t="s">
        <v>262</v>
      </c>
      <c r="E37" s="156">
        <f t="shared" ref="E37:P37" si="2">(E11+E27)*(1+E28)</f>
        <v>197.07005677219078</v>
      </c>
      <c r="F37" s="156">
        <f t="shared" si="2"/>
        <v>149.79194915341122</v>
      </c>
      <c r="G37" s="156">
        <f t="shared" si="2"/>
        <v>158.147749210158</v>
      </c>
      <c r="H37" s="156">
        <f t="shared" si="2"/>
        <v>164.67262424795027</v>
      </c>
      <c r="I37" s="156">
        <f t="shared" si="2"/>
        <v>119.96507394844846</v>
      </c>
      <c r="J37" s="156">
        <f t="shared" si="2"/>
        <v>117.53614810023365</v>
      </c>
      <c r="K37" s="156">
        <f t="shared" si="2"/>
        <v>117.6884415917969</v>
      </c>
      <c r="L37" s="156">
        <f t="shared" si="2"/>
        <v>141.93529751713115</v>
      </c>
      <c r="M37" s="156">
        <f t="shared" si="2"/>
        <v>84.081022037057878</v>
      </c>
      <c r="N37" s="156">
        <f t="shared" si="2"/>
        <v>77.231031588318842</v>
      </c>
      <c r="O37" s="156">
        <f t="shared" si="2"/>
        <v>77.519299914972351</v>
      </c>
      <c r="P37" s="156">
        <f t="shared" si="2"/>
        <v>98.350666023086049</v>
      </c>
    </row>
    <row r="38" spans="3:21" x14ac:dyDescent="0.35">
      <c r="C38" s="268"/>
      <c r="D38" s="155" t="s">
        <v>228</v>
      </c>
      <c r="E38" s="156">
        <f t="shared" ref="E38:P38" si="3">(E11+E26)</f>
        <v>164.225047310159</v>
      </c>
      <c r="F38" s="156">
        <f t="shared" si="3"/>
        <v>122.67899930033987</v>
      </c>
      <c r="G38" s="156">
        <f t="shared" si="3"/>
        <v>130.16061918194876</v>
      </c>
      <c r="H38" s="156">
        <f t="shared" si="3"/>
        <v>132.80050342576635</v>
      </c>
      <c r="I38" s="156">
        <f t="shared" si="3"/>
        <v>99.970894957040386</v>
      </c>
      <c r="J38" s="156">
        <f t="shared" si="3"/>
        <v>96.021312479531943</v>
      </c>
      <c r="K38" s="156">
        <f t="shared" si="3"/>
        <v>96.72317486925364</v>
      </c>
      <c r="L38" s="156">
        <f t="shared" si="3"/>
        <v>114.46394961058964</v>
      </c>
      <c r="M38" s="156">
        <f t="shared" si="3"/>
        <v>70.067518364214905</v>
      </c>
      <c r="N38" s="156">
        <f t="shared" si="3"/>
        <v>62.711298833321365</v>
      </c>
      <c r="O38" s="156">
        <f t="shared" si="3"/>
        <v>63.525537119811872</v>
      </c>
      <c r="P38" s="156">
        <f t="shared" si="3"/>
        <v>79.315053244424234</v>
      </c>
    </row>
    <row r="39" spans="3:21" x14ac:dyDescent="0.35">
      <c r="C39" s="267" t="s">
        <v>78</v>
      </c>
      <c r="D39" s="155" t="s">
        <v>262</v>
      </c>
      <c r="E39" s="156">
        <f>(E12+E27)*(1+E28)</f>
        <v>145.8441607986081</v>
      </c>
      <c r="F39" s="156">
        <f t="shared" ref="F39:P39" si="4">(F12+F27)*(1+F28)</f>
        <v>142.48537728787807</v>
      </c>
      <c r="G39" s="156">
        <f t="shared" si="4"/>
        <v>140.18843022513843</v>
      </c>
      <c r="H39" s="156">
        <f t="shared" si="4"/>
        <v>165.65609572864994</v>
      </c>
      <c r="I39" s="156">
        <f t="shared" si="4"/>
        <v>142.04878050595795</v>
      </c>
      <c r="J39" s="156">
        <f t="shared" si="4"/>
        <v>146.2504565659784</v>
      </c>
      <c r="K39" s="156">
        <f t="shared" si="4"/>
        <v>138.90404398274535</v>
      </c>
      <c r="L39" s="156">
        <f t="shared" si="4"/>
        <v>150.48167296817309</v>
      </c>
      <c r="M39" s="156">
        <f t="shared" si="4"/>
        <v>118.72777094676471</v>
      </c>
      <c r="N39" s="156">
        <f t="shared" si="4"/>
        <v>105.78294804282449</v>
      </c>
      <c r="O39" s="156">
        <f t="shared" si="4"/>
        <v>116.66316138418874</v>
      </c>
      <c r="P39" s="156">
        <f t="shared" si="4"/>
        <v>161.6622575932991</v>
      </c>
    </row>
    <row r="40" spans="3:21" x14ac:dyDescent="0.35">
      <c r="C40" s="268"/>
      <c r="D40" s="155" t="s">
        <v>228</v>
      </c>
      <c r="E40" s="156">
        <f>(E12+E26)</f>
        <v>121.53680066550675</v>
      </c>
      <c r="F40" s="156">
        <f t="shared" ref="F40:P40" si="5">(F12+F26)</f>
        <v>116.64051015527113</v>
      </c>
      <c r="G40" s="156">
        <f t="shared" si="5"/>
        <v>115.31820679763507</v>
      </c>
      <c r="H40" s="156">
        <f t="shared" si="5"/>
        <v>133.59362558762092</v>
      </c>
      <c r="I40" s="156">
        <f t="shared" si="5"/>
        <v>118.37398375496497</v>
      </c>
      <c r="J40" s="156">
        <f t="shared" si="5"/>
        <v>119.75214592229621</v>
      </c>
      <c r="K40" s="156">
        <f t="shared" si="5"/>
        <v>114.25673056425235</v>
      </c>
      <c r="L40" s="156">
        <f t="shared" si="5"/>
        <v>121.35618787755894</v>
      </c>
      <c r="M40" s="156">
        <f t="shared" si="5"/>
        <v>98.939809122303927</v>
      </c>
      <c r="N40" s="156">
        <f t="shared" si="5"/>
        <v>86.307924002334289</v>
      </c>
      <c r="O40" s="156">
        <f t="shared" si="5"/>
        <v>95.875835854701435</v>
      </c>
      <c r="P40" s="156">
        <f t="shared" si="5"/>
        <v>130.37278838169283</v>
      </c>
    </row>
    <row r="41" spans="3:21" x14ac:dyDescent="0.35">
      <c r="C41" s="267" t="s">
        <v>79</v>
      </c>
      <c r="D41" s="155" t="s">
        <v>262</v>
      </c>
      <c r="E41" s="156">
        <f t="shared" ref="E41:P41" si="6">(E13+E27)*(1+E28)</f>
        <v>95.123485216874542</v>
      </c>
      <c r="F41" s="156">
        <f t="shared" si="6"/>
        <v>116.62613674530452</v>
      </c>
      <c r="G41" s="156">
        <f t="shared" si="6"/>
        <v>117.11822337468588</v>
      </c>
      <c r="H41" s="156">
        <f t="shared" si="6"/>
        <v>135.00863610970234</v>
      </c>
      <c r="I41" s="156">
        <f t="shared" si="6"/>
        <v>80.351530293620229</v>
      </c>
      <c r="J41" s="156">
        <f t="shared" si="6"/>
        <v>61.726858046084118</v>
      </c>
      <c r="K41" s="156">
        <f t="shared" si="6"/>
        <v>112.12943738206793</v>
      </c>
      <c r="L41" s="156">
        <f t="shared" si="6"/>
        <v>99.926907552790794</v>
      </c>
      <c r="M41" s="156">
        <f t="shared" si="6"/>
        <v>73.548544196189155</v>
      </c>
      <c r="N41" s="156">
        <f t="shared" si="6"/>
        <v>54.477633006890095</v>
      </c>
      <c r="O41" s="156">
        <f t="shared" si="6"/>
        <v>71.30605635484541</v>
      </c>
      <c r="P41" s="156">
        <f t="shared" si="6"/>
        <v>93.298843771967881</v>
      </c>
    </row>
    <row r="42" spans="3:21" x14ac:dyDescent="0.35">
      <c r="C42" s="268"/>
      <c r="D42" s="155" t="s">
        <v>228</v>
      </c>
      <c r="E42" s="156">
        <f t="shared" ref="E42:P42" si="7">(E13+E26)</f>
        <v>79.269571014062123</v>
      </c>
      <c r="F42" s="156">
        <f t="shared" si="7"/>
        <v>95.269236979590517</v>
      </c>
      <c r="G42" s="156">
        <f t="shared" si="7"/>
        <v>96.251920144368512</v>
      </c>
      <c r="H42" s="156">
        <f t="shared" si="7"/>
        <v>108.87793234653414</v>
      </c>
      <c r="I42" s="156">
        <f t="shared" si="7"/>
        <v>66.959608578016855</v>
      </c>
      <c r="J42" s="156">
        <f t="shared" si="7"/>
        <v>49.897932269491022</v>
      </c>
      <c r="K42" s="156">
        <f t="shared" si="7"/>
        <v>92.128956514105738</v>
      </c>
      <c r="L42" s="156">
        <f t="shared" si="7"/>
        <v>80.586215768379674</v>
      </c>
      <c r="M42" s="156">
        <f t="shared" si="7"/>
        <v>61.290453496824298</v>
      </c>
      <c r="N42" s="156">
        <f t="shared" si="7"/>
        <v>43.906837195776944</v>
      </c>
      <c r="O42" s="156">
        <f t="shared" si="7"/>
        <v>58.390625086649109</v>
      </c>
      <c r="P42" s="156">
        <f t="shared" si="7"/>
        <v>75.241003041909579</v>
      </c>
    </row>
    <row r="44" spans="3:21" x14ac:dyDescent="0.35">
      <c r="C44" s="163" t="s">
        <v>333</v>
      </c>
      <c r="E44" s="269"/>
      <c r="F44" s="269"/>
      <c r="G44" s="269"/>
      <c r="H44" s="269"/>
      <c r="I44" s="269"/>
      <c r="J44" s="269"/>
      <c r="K44" s="269"/>
      <c r="L44" s="269"/>
      <c r="M44" s="269"/>
      <c r="N44" s="269"/>
      <c r="O44" s="269"/>
      <c r="P44" s="269"/>
      <c r="Q44" s="269"/>
      <c r="R44" s="269"/>
      <c r="S44" s="269"/>
      <c r="T44" s="269"/>
      <c r="U44" s="269"/>
    </row>
    <row r="45" spans="3:21" x14ac:dyDescent="0.35">
      <c r="C45" s="260"/>
      <c r="D45" s="260"/>
      <c r="E45" s="261">
        <v>2030</v>
      </c>
      <c r="F45" s="261"/>
      <c r="G45" s="261"/>
      <c r="H45" s="261"/>
      <c r="I45" s="261">
        <v>2040</v>
      </c>
      <c r="J45" s="261"/>
      <c r="K45" s="261"/>
      <c r="L45" s="261"/>
      <c r="M45" s="261">
        <v>2050</v>
      </c>
      <c r="N45" s="261"/>
      <c r="O45" s="261"/>
      <c r="P45" s="261"/>
    </row>
    <row r="46" spans="3:21" x14ac:dyDescent="0.35">
      <c r="C46" s="260"/>
      <c r="D46" s="260"/>
      <c r="E46" s="260" t="s">
        <v>67</v>
      </c>
      <c r="F46" s="260" t="s">
        <v>68</v>
      </c>
      <c r="G46" s="260" t="s">
        <v>69</v>
      </c>
      <c r="H46" s="260" t="s">
        <v>70</v>
      </c>
      <c r="I46" s="260" t="s">
        <v>67</v>
      </c>
      <c r="J46" s="260" t="s">
        <v>68</v>
      </c>
      <c r="K46" s="260" t="s">
        <v>69</v>
      </c>
      <c r="L46" s="260" t="s">
        <v>70</v>
      </c>
      <c r="M46" s="260" t="s">
        <v>67</v>
      </c>
      <c r="N46" s="260" t="s">
        <v>68</v>
      </c>
      <c r="O46" s="260" t="s">
        <v>69</v>
      </c>
      <c r="P46" s="260" t="s">
        <v>70</v>
      </c>
    </row>
    <row r="47" spans="3:21" x14ac:dyDescent="0.35">
      <c r="C47" s="267" t="s">
        <v>299</v>
      </c>
      <c r="D47" s="155" t="s">
        <v>262</v>
      </c>
      <c r="E47" s="156">
        <f t="shared" ref="E47:P47" si="8">(E12+E27+E19)*(1+E28)</f>
        <v>161.08888622251627</v>
      </c>
      <c r="F47" s="156">
        <f t="shared" si="8"/>
        <v>168.49979043114251</v>
      </c>
      <c r="G47" s="156">
        <f t="shared" si="8"/>
        <v>156.23518749056126</v>
      </c>
      <c r="H47" s="156">
        <f t="shared" si="8"/>
        <v>173.74270031827336</v>
      </c>
      <c r="I47" s="156">
        <f t="shared" si="8"/>
        <v>161.39457729774318</v>
      </c>
      <c r="J47" s="156">
        <f t="shared" si="8"/>
        <v>169.45539826209071</v>
      </c>
      <c r="K47" s="156">
        <f t="shared" si="8"/>
        <v>156.59440712446454</v>
      </c>
      <c r="L47" s="156">
        <f t="shared" si="8"/>
        <v>161.12581762759726</v>
      </c>
      <c r="M47" s="156">
        <f t="shared" si="8"/>
        <v>140.1956873046409</v>
      </c>
      <c r="N47" s="156">
        <f t="shared" si="8"/>
        <v>130.38278139859625</v>
      </c>
      <c r="O47" s="156">
        <f t="shared" si="8"/>
        <v>132.96348691548479</v>
      </c>
      <c r="P47" s="156">
        <f t="shared" si="8"/>
        <v>173.72874027137837</v>
      </c>
    </row>
    <row r="48" spans="3:21" x14ac:dyDescent="0.35">
      <c r="C48" s="268"/>
      <c r="D48" s="155" t="s">
        <v>228</v>
      </c>
      <c r="E48" s="156">
        <f t="shared" ref="E48:P48" si="9">(E12+E26+E19)</f>
        <v>134.24073851876355</v>
      </c>
      <c r="F48" s="156">
        <f t="shared" si="9"/>
        <v>138.14002514970454</v>
      </c>
      <c r="G48" s="156">
        <f t="shared" si="9"/>
        <v>128.57998966162089</v>
      </c>
      <c r="H48" s="156">
        <f t="shared" si="9"/>
        <v>140.11508090183335</v>
      </c>
      <c r="I48" s="156">
        <f t="shared" si="9"/>
        <v>134.49548108145265</v>
      </c>
      <c r="J48" s="156">
        <f t="shared" si="9"/>
        <v>138.92978368767828</v>
      </c>
      <c r="K48" s="156">
        <f t="shared" si="9"/>
        <v>128.87686539211944</v>
      </c>
      <c r="L48" s="156">
        <f t="shared" si="9"/>
        <v>129.94017550612682</v>
      </c>
      <c r="M48" s="156">
        <f t="shared" si="9"/>
        <v>116.8297394205341</v>
      </c>
      <c r="N48" s="156">
        <f t="shared" si="9"/>
        <v>106.6383647922283</v>
      </c>
      <c r="O48" s="156">
        <f t="shared" si="9"/>
        <v>109.3471792689957</v>
      </c>
      <c r="P48" s="156">
        <f t="shared" si="9"/>
        <v>140.10382279949869</v>
      </c>
    </row>
    <row r="49" spans="3:20" x14ac:dyDescent="0.35">
      <c r="C49" s="267" t="s">
        <v>298</v>
      </c>
      <c r="D49" s="155" t="s">
        <v>262</v>
      </c>
      <c r="E49" s="156">
        <f t="shared" ref="E49:P49" si="10">(E12+E27+E20)*(1+E28)</f>
        <v>223.04614021510446</v>
      </c>
      <c r="F49" s="156">
        <f t="shared" si="10"/>
        <v>274.13772582608402</v>
      </c>
      <c r="G49" s="156">
        <f t="shared" si="10"/>
        <v>239.91226707464688</v>
      </c>
      <c r="H49" s="156">
        <f t="shared" si="10"/>
        <v>206.84815015449342</v>
      </c>
      <c r="I49" s="156">
        <f t="shared" si="10"/>
        <v>240.01930894675405</v>
      </c>
      <c r="J49" s="156">
        <f t="shared" si="10"/>
        <v>263.68478249757499</v>
      </c>
      <c r="K49" s="156">
        <f t="shared" si="10"/>
        <v>248.84219899894376</v>
      </c>
      <c r="L49" s="156">
        <f t="shared" si="10"/>
        <v>204.70148565570918</v>
      </c>
      <c r="M49" s="156">
        <f t="shared" si="10"/>
        <v>227.44508730961576</v>
      </c>
      <c r="N49" s="156">
        <f t="shared" si="10"/>
        <v>230.2764669663672</v>
      </c>
      <c r="O49" s="156">
        <f t="shared" si="10"/>
        <v>217.96281819270186</v>
      </c>
      <c r="P49" s="156">
        <f t="shared" si="10"/>
        <v>223.12726502568117</v>
      </c>
    </row>
    <row r="50" spans="3:20" x14ac:dyDescent="0.35">
      <c r="C50" s="268"/>
      <c r="D50" s="155" t="s">
        <v>228</v>
      </c>
      <c r="E50" s="156">
        <f t="shared" ref="E50:P50" si="11">(E12+E26+E20)</f>
        <v>185.87178351258706</v>
      </c>
      <c r="F50" s="156">
        <f t="shared" si="11"/>
        <v>225.44410398849919</v>
      </c>
      <c r="G50" s="156">
        <f t="shared" si="11"/>
        <v>197.73460088813795</v>
      </c>
      <c r="H50" s="156">
        <f t="shared" si="11"/>
        <v>166.81302431813987</v>
      </c>
      <c r="I50" s="156">
        <f t="shared" si="11"/>
        <v>200.01609078896172</v>
      </c>
      <c r="J50" s="156">
        <f t="shared" si="11"/>
        <v>216.8053078492355</v>
      </c>
      <c r="K50" s="156">
        <f t="shared" si="11"/>
        <v>205.11470991648247</v>
      </c>
      <c r="L50" s="156">
        <f t="shared" si="11"/>
        <v>165.0818432707332</v>
      </c>
      <c r="M50" s="156">
        <f t="shared" si="11"/>
        <v>189.53757275801314</v>
      </c>
      <c r="N50" s="156">
        <f t="shared" si="11"/>
        <v>189.1951297242704</v>
      </c>
      <c r="O50" s="156">
        <f t="shared" si="11"/>
        <v>179.59456048983623</v>
      </c>
      <c r="P50" s="156">
        <f t="shared" si="11"/>
        <v>179.94134276264612</v>
      </c>
    </row>
    <row r="52" spans="3:20" ht="15" thickBot="1" x14ac:dyDescent="0.4">
      <c r="C52" s="258" t="s">
        <v>85</v>
      </c>
      <c r="D52" s="258"/>
      <c r="E52" s="258"/>
      <c r="F52" s="258"/>
      <c r="G52" s="258"/>
      <c r="H52" s="258"/>
      <c r="I52" s="258"/>
      <c r="J52" s="258"/>
      <c r="K52" s="258"/>
      <c r="L52" s="258"/>
      <c r="M52" s="258"/>
      <c r="N52" s="258"/>
      <c r="O52" s="258"/>
      <c r="P52" s="258"/>
      <c r="Q52" s="258"/>
      <c r="R52" s="258"/>
      <c r="S52" s="258"/>
      <c r="T52" s="258"/>
    </row>
    <row r="54" spans="3:20" x14ac:dyDescent="0.35">
      <c r="C54" s="260"/>
      <c r="D54" s="260"/>
      <c r="E54" s="261">
        <v>2030</v>
      </c>
      <c r="F54" s="261"/>
      <c r="G54" s="261"/>
      <c r="H54" s="261"/>
      <c r="I54" s="261">
        <v>2040</v>
      </c>
      <c r="J54" s="261"/>
      <c r="K54" s="261"/>
      <c r="L54" s="261"/>
      <c r="M54" s="261">
        <v>2050</v>
      </c>
      <c r="N54" s="261"/>
      <c r="O54" s="261"/>
      <c r="P54" s="261"/>
    </row>
    <row r="55" spans="3:20" x14ac:dyDescent="0.35">
      <c r="C55" s="260"/>
      <c r="D55" s="260"/>
      <c r="E55" s="260" t="s">
        <v>67</v>
      </c>
      <c r="F55" s="260" t="s">
        <v>68</v>
      </c>
      <c r="G55" s="260" t="s">
        <v>69</v>
      </c>
      <c r="H55" s="260" t="s">
        <v>70</v>
      </c>
      <c r="I55" s="260" t="s">
        <v>67</v>
      </c>
      <c r="J55" s="260" t="s">
        <v>68</v>
      </c>
      <c r="K55" s="260" t="s">
        <v>69</v>
      </c>
      <c r="L55" s="260" t="s">
        <v>70</v>
      </c>
      <c r="M55" s="260" t="s">
        <v>67</v>
      </c>
      <c r="N55" s="260" t="s">
        <v>68</v>
      </c>
      <c r="O55" s="260" t="s">
        <v>69</v>
      </c>
      <c r="P55" s="260" t="s">
        <v>70</v>
      </c>
    </row>
    <row r="56" spans="3:20" x14ac:dyDescent="0.35">
      <c r="C56" s="270" t="s">
        <v>329</v>
      </c>
      <c r="D56" s="155" t="s">
        <v>262</v>
      </c>
      <c r="E56" s="271">
        <f>Consumption!$F29</f>
        <v>4.5784813999889593</v>
      </c>
      <c r="F56" s="271">
        <f>Consumption!$F29</f>
        <v>4.5784813999889593</v>
      </c>
      <c r="G56" s="271">
        <f>Consumption!$F29</f>
        <v>4.5784813999889593</v>
      </c>
      <c r="H56" s="271">
        <f>Consumption!$F29</f>
        <v>4.5784813999889593</v>
      </c>
      <c r="I56" s="271">
        <f>Consumption!$G29</f>
        <v>3.5608755722746666</v>
      </c>
      <c r="J56" s="271">
        <f>Consumption!$G29</f>
        <v>3.5608755722746666</v>
      </c>
      <c r="K56" s="271">
        <f>Consumption!$G29</f>
        <v>3.5608755722746666</v>
      </c>
      <c r="L56" s="271">
        <f>Consumption!$G29</f>
        <v>3.5608755722746666</v>
      </c>
      <c r="M56" s="271">
        <f>Consumption!$H29</f>
        <v>3.3055321311346124</v>
      </c>
      <c r="N56" s="271">
        <f>Consumption!$H29</f>
        <v>3.3055321311346124</v>
      </c>
      <c r="O56" s="271">
        <f>Consumption!$H29</f>
        <v>3.3055321311346124</v>
      </c>
      <c r="P56" s="271">
        <f>Consumption!$H29</f>
        <v>3.3055321311346124</v>
      </c>
    </row>
    <row r="57" spans="3:20" x14ac:dyDescent="0.35">
      <c r="C57" s="272"/>
      <c r="D57" s="155" t="s">
        <v>228</v>
      </c>
      <c r="E57" s="271">
        <f>Consumption!$F30</f>
        <v>114.46203499972398</v>
      </c>
      <c r="F57" s="271">
        <f>Consumption!$F30</f>
        <v>114.46203499972398</v>
      </c>
      <c r="G57" s="271">
        <f>Consumption!$F30</f>
        <v>114.46203499972398</v>
      </c>
      <c r="H57" s="271">
        <f>Consumption!$F30</f>
        <v>114.46203499972398</v>
      </c>
      <c r="I57" s="271">
        <f>Consumption!$G30</f>
        <v>89.021889306866669</v>
      </c>
      <c r="J57" s="271">
        <f>Consumption!$G30</f>
        <v>89.021889306866669</v>
      </c>
      <c r="K57" s="271">
        <f>Consumption!$G30</f>
        <v>89.021889306866669</v>
      </c>
      <c r="L57" s="271">
        <f>Consumption!$G30</f>
        <v>89.021889306866669</v>
      </c>
      <c r="M57" s="271">
        <f>Consumption!$H30</f>
        <v>82.638303278365314</v>
      </c>
      <c r="N57" s="271">
        <f>Consumption!$H30</f>
        <v>82.638303278365314</v>
      </c>
      <c r="O57" s="271">
        <f>Consumption!$H30</f>
        <v>82.638303278365314</v>
      </c>
      <c r="P57" s="271">
        <f>Consumption!$H30</f>
        <v>82.638303278365314</v>
      </c>
    </row>
    <row r="60" spans="3:20" ht="15" thickBot="1" x14ac:dyDescent="0.4">
      <c r="C60" s="258" t="s">
        <v>318</v>
      </c>
      <c r="D60" s="258"/>
      <c r="E60" s="258"/>
      <c r="F60" s="258"/>
      <c r="G60" s="258"/>
      <c r="H60" s="258"/>
      <c r="I60" s="258"/>
      <c r="J60" s="258"/>
      <c r="K60" s="258"/>
      <c r="L60" s="258"/>
      <c r="M60" s="258"/>
      <c r="N60" s="258"/>
      <c r="O60" s="258"/>
      <c r="P60" s="258"/>
      <c r="Q60" s="258"/>
      <c r="R60" s="258"/>
      <c r="S60" s="258"/>
      <c r="T60" s="258"/>
    </row>
    <row r="62" spans="3:20" x14ac:dyDescent="0.35">
      <c r="C62" s="163" t="s">
        <v>336</v>
      </c>
    </row>
    <row r="63" spans="3:20" x14ac:dyDescent="0.35">
      <c r="C63" s="260"/>
      <c r="D63" s="260"/>
      <c r="E63" s="261">
        <v>2030</v>
      </c>
      <c r="F63" s="261"/>
      <c r="G63" s="261"/>
      <c r="H63" s="261"/>
      <c r="I63" s="261">
        <v>2040</v>
      </c>
      <c r="J63" s="261"/>
      <c r="K63" s="261"/>
      <c r="L63" s="261"/>
      <c r="M63" s="261">
        <v>2050</v>
      </c>
      <c r="N63" s="261"/>
      <c r="O63" s="261"/>
      <c r="P63" s="261"/>
    </row>
    <row r="64" spans="3:20" x14ac:dyDescent="0.35">
      <c r="C64" s="260"/>
      <c r="D64" s="260"/>
      <c r="E64" s="260" t="s">
        <v>67</v>
      </c>
      <c r="F64" s="260" t="s">
        <v>68</v>
      </c>
      <c r="G64" s="260" t="s">
        <v>69</v>
      </c>
      <c r="H64" s="260" t="s">
        <v>70</v>
      </c>
      <c r="I64" s="260" t="s">
        <v>67</v>
      </c>
      <c r="J64" s="260" t="s">
        <v>68</v>
      </c>
      <c r="K64" s="260" t="s">
        <v>69</v>
      </c>
      <c r="L64" s="260" t="s">
        <v>70</v>
      </c>
      <c r="M64" s="260" t="s">
        <v>67</v>
      </c>
      <c r="N64" s="260" t="s">
        <v>68</v>
      </c>
      <c r="O64" s="260" t="s">
        <v>69</v>
      </c>
      <c r="P64" s="260" t="s">
        <v>70</v>
      </c>
    </row>
    <row r="65" spans="3:16" x14ac:dyDescent="0.35">
      <c r="C65" s="267" t="s">
        <v>66</v>
      </c>
      <c r="D65" s="155" t="s">
        <v>262</v>
      </c>
      <c r="E65" s="273">
        <f t="shared" ref="E65:P65" si="12">E35*E$56</f>
        <v>652.70884559955664</v>
      </c>
      <c r="F65" s="273">
        <f t="shared" si="12"/>
        <v>643.20266081831255</v>
      </c>
      <c r="G65" s="273">
        <f t="shared" si="12"/>
        <v>626.96361545316745</v>
      </c>
      <c r="H65" s="273">
        <f t="shared" si="12"/>
        <v>755.1760518485147</v>
      </c>
      <c r="I65" s="273">
        <f t="shared" si="12"/>
        <v>524.99908089835594</v>
      </c>
      <c r="J65" s="273">
        <f t="shared" si="12"/>
        <v>527.41478791002817</v>
      </c>
      <c r="K65" s="273">
        <f t="shared" si="12"/>
        <v>506.42154109939497</v>
      </c>
      <c r="L65" s="273">
        <f t="shared" si="12"/>
        <v>563.21813029427574</v>
      </c>
      <c r="M65" s="273">
        <f t="shared" si="12"/>
        <v>510.34889413393546</v>
      </c>
      <c r="N65" s="273">
        <f t="shared" si="12"/>
        <v>517.73133493348121</v>
      </c>
      <c r="O65" s="273">
        <f t="shared" si="12"/>
        <v>484.8909473162077</v>
      </c>
      <c r="P65" s="273">
        <f t="shared" si="12"/>
        <v>498.19115329458242</v>
      </c>
    </row>
    <row r="66" spans="3:16" x14ac:dyDescent="0.35">
      <c r="C66" s="268"/>
      <c r="D66" s="155" t="s">
        <v>228</v>
      </c>
      <c r="E66" s="273">
        <f>E36*E$57</f>
        <v>13598.100949990763</v>
      </c>
      <c r="F66" s="273">
        <f t="shared" ref="F66:P66" si="13">F36*F$57</f>
        <v>13161.571542872387</v>
      </c>
      <c r="G66" s="273">
        <f t="shared" si="13"/>
        <v>12891.984208810223</v>
      </c>
      <c r="H66" s="273">
        <f t="shared" si="13"/>
        <v>15225.323625978119</v>
      </c>
      <c r="I66" s="273">
        <f t="shared" si="13"/>
        <v>10937.480852049082</v>
      </c>
      <c r="J66" s="273">
        <f t="shared" si="13"/>
        <v>10797.651321740732</v>
      </c>
      <c r="K66" s="273">
        <f t="shared" si="13"/>
        <v>10415.183161166751</v>
      </c>
      <c r="L66" s="273">
        <f t="shared" si="13"/>
        <v>11355.204239803948</v>
      </c>
      <c r="M66" s="273">
        <f t="shared" si="13"/>
        <v>10632.268627790323</v>
      </c>
      <c r="N66" s="273">
        <f t="shared" si="13"/>
        <v>10604.7040612579</v>
      </c>
      <c r="O66" s="273">
        <f t="shared" si="13"/>
        <v>9973.7833186306689</v>
      </c>
      <c r="P66" s="273">
        <f t="shared" si="13"/>
        <v>10044.176477713356</v>
      </c>
    </row>
    <row r="67" spans="3:16" x14ac:dyDescent="0.35">
      <c r="C67" s="267" t="s">
        <v>71</v>
      </c>
      <c r="D67" s="155" t="s">
        <v>262</v>
      </c>
      <c r="E67" s="273">
        <f t="shared" ref="E67:P67" si="14">E37*E$56</f>
        <v>902.28158942624373</v>
      </c>
      <c r="F67" s="273">
        <f t="shared" si="14"/>
        <v>685.81965306698521</v>
      </c>
      <c r="G67" s="273">
        <f t="shared" si="14"/>
        <v>724.07652820882697</v>
      </c>
      <c r="H67" s="273">
        <f t="shared" si="14"/>
        <v>753.95054720661119</v>
      </c>
      <c r="I67" s="273">
        <f t="shared" si="14"/>
        <v>427.18070134915411</v>
      </c>
      <c r="J67" s="273">
        <f t="shared" si="14"/>
        <v>418.53159862937946</v>
      </c>
      <c r="K67" s="273">
        <f t="shared" si="14"/>
        <v>419.07389680330346</v>
      </c>
      <c r="L67" s="273">
        <f t="shared" si="14"/>
        <v>505.41393377228945</v>
      </c>
      <c r="M67" s="273">
        <f t="shared" si="14"/>
        <v>277.93251996213223</v>
      </c>
      <c r="N67" s="273">
        <f t="shared" si="14"/>
        <v>255.28965643586017</v>
      </c>
      <c r="O67" s="273">
        <f t="shared" si="14"/>
        <v>256.24253665200172</v>
      </c>
      <c r="P67" s="273">
        <f t="shared" si="14"/>
        <v>325.10128665780013</v>
      </c>
    </row>
    <row r="68" spans="3:16" x14ac:dyDescent="0.35">
      <c r="C68" s="268"/>
      <c r="D68" s="155" t="s">
        <v>228</v>
      </c>
      <c r="E68" s="273">
        <f t="shared" ref="E68:P68" si="15">E38*E$57</f>
        <v>18797.533113046746</v>
      </c>
      <c r="F68" s="273">
        <f t="shared" si="15"/>
        <v>14042.087911646617</v>
      </c>
      <c r="G68" s="273">
        <f t="shared" si="15"/>
        <v>14898.449348389964</v>
      </c>
      <c r="H68" s="273">
        <f t="shared" si="15"/>
        <v>15200.615871101032</v>
      </c>
      <c r="I68" s="273">
        <f t="shared" si="15"/>
        <v>8899.5979447740447</v>
      </c>
      <c r="J68" s="273">
        <f t="shared" si="15"/>
        <v>8547.9986506529476</v>
      </c>
      <c r="K68" s="273">
        <f t="shared" si="15"/>
        <v>8610.4797666194063</v>
      </c>
      <c r="L68" s="273">
        <f t="shared" si="15"/>
        <v>10189.797051860674</v>
      </c>
      <c r="M68" s="273">
        <f t="shared" si="15"/>
        <v>5790.2608325444226</v>
      </c>
      <c r="N68" s="273">
        <f t="shared" si="15"/>
        <v>5182.3553319682078</v>
      </c>
      <c r="O68" s="273">
        <f t="shared" si="15"/>
        <v>5249.6426024280672</v>
      </c>
      <c r="P68" s="273">
        <f t="shared" si="15"/>
        <v>6554.4614245524226</v>
      </c>
    </row>
    <row r="69" spans="3:16" x14ac:dyDescent="0.35">
      <c r="C69" s="267" t="s">
        <v>78</v>
      </c>
      <c r="D69" s="155" t="s">
        <v>262</v>
      </c>
      <c r="E69" s="273">
        <f t="shared" ref="E69:P69" si="16">E39*E$56</f>
        <v>667.74477751342613</v>
      </c>
      <c r="F69" s="273">
        <f t="shared" si="16"/>
        <v>652.36664968295906</v>
      </c>
      <c r="G69" s="273">
        <f t="shared" si="16"/>
        <v>641.8501202794464</v>
      </c>
      <c r="H69" s="273">
        <f t="shared" si="16"/>
        <v>758.45335308841425</v>
      </c>
      <c r="I69" s="273">
        <f t="shared" si="16"/>
        <v>505.81803257507153</v>
      </c>
      <c r="J69" s="273">
        <f t="shared" si="16"/>
        <v>520.77967821980963</v>
      </c>
      <c r="K69" s="273">
        <f t="shared" si="16"/>
        <v>494.62001710832379</v>
      </c>
      <c r="L69" s="273">
        <f t="shared" si="16"/>
        <v>535.8465133473926</v>
      </c>
      <c r="M69" s="273">
        <f t="shared" si="16"/>
        <v>392.45846172252124</v>
      </c>
      <c r="N69" s="273">
        <f t="shared" si="16"/>
        <v>349.66893368169963</v>
      </c>
      <c r="O69" s="273">
        <f t="shared" si="16"/>
        <v>385.63382847517863</v>
      </c>
      <c r="P69" s="273">
        <f t="shared" si="16"/>
        <v>534.37978686641065</v>
      </c>
    </row>
    <row r="70" spans="3:16" x14ac:dyDescent="0.35">
      <c r="C70" s="268"/>
      <c r="D70" s="155" t="s">
        <v>228</v>
      </c>
      <c r="E70" s="273">
        <f t="shared" ref="E70:P70" si="17">E40*E$57</f>
        <v>13911.34953152971</v>
      </c>
      <c r="F70" s="273">
        <f t="shared" si="17"/>
        <v>13350.910155778305</v>
      </c>
      <c r="G70" s="273">
        <f t="shared" si="17"/>
        <v>13199.556622576314</v>
      </c>
      <c r="H70" s="273">
        <f t="shared" si="17"/>
        <v>15291.398247750287</v>
      </c>
      <c r="I70" s="273">
        <f t="shared" si="17"/>
        <v>10537.875678647324</v>
      </c>
      <c r="J70" s="273">
        <f t="shared" si="17"/>
        <v>10660.562278554398</v>
      </c>
      <c r="K70" s="273">
        <f t="shared" si="17"/>
        <v>10171.350020855363</v>
      </c>
      <c r="L70" s="273">
        <f t="shared" si="17"/>
        <v>10803.357123939366</v>
      </c>
      <c r="M70" s="273">
        <f t="shared" si="17"/>
        <v>8176.2179525525271</v>
      </c>
      <c r="N70" s="273">
        <f t="shared" si="17"/>
        <v>7132.3403990310062</v>
      </c>
      <c r="O70" s="273">
        <f t="shared" si="17"/>
        <v>7923.0164004275885</v>
      </c>
      <c r="P70" s="273">
        <f t="shared" si="17"/>
        <v>10773.786025532474</v>
      </c>
    </row>
    <row r="71" spans="3:16" x14ac:dyDescent="0.35">
      <c r="C71" s="267" t="s">
        <v>79</v>
      </c>
      <c r="D71" s="155" t="s">
        <v>262</v>
      </c>
      <c r="E71" s="273">
        <f t="shared" ref="E71:P71" si="18">E41*E$56</f>
        <v>435.52110776758485</v>
      </c>
      <c r="F71" s="273">
        <f t="shared" si="18"/>
        <v>533.97059784094563</v>
      </c>
      <c r="G71" s="273">
        <f t="shared" si="18"/>
        <v>536.22360732075151</v>
      </c>
      <c r="H71" s="273">
        <f t="shared" si="18"/>
        <v>618.13452926614991</v>
      </c>
      <c r="I71" s="273">
        <f t="shared" si="18"/>
        <v>286.12180141744011</v>
      </c>
      <c r="J71" s="273">
        <f t="shared" si="18"/>
        <v>219.80166096956688</v>
      </c>
      <c r="K71" s="273">
        <f t="shared" si="18"/>
        <v>399.27897450670753</v>
      </c>
      <c r="L71" s="273">
        <f t="shared" si="18"/>
        <v>355.82728411768164</v>
      </c>
      <c r="M71" s="273">
        <f t="shared" si="18"/>
        <v>243.11707603867737</v>
      </c>
      <c r="N71" s="273">
        <f t="shared" si="18"/>
        <v>180.07756633243471</v>
      </c>
      <c r="O71" s="273">
        <f t="shared" si="18"/>
        <v>235.70446042543691</v>
      </c>
      <c r="P71" s="273">
        <f t="shared" si="18"/>
        <v>308.40232588594824</v>
      </c>
    </row>
    <row r="72" spans="3:16" x14ac:dyDescent="0.35">
      <c r="C72" s="268"/>
      <c r="D72" s="155" t="s">
        <v>228</v>
      </c>
      <c r="E72" s="273">
        <f t="shared" ref="E72:P72" si="19">E42*E$57</f>
        <v>9073.356411824685</v>
      </c>
      <c r="F72" s="273">
        <f t="shared" si="19"/>
        <v>10904.710737554888</v>
      </c>
      <c r="G72" s="273">
        <f t="shared" si="19"/>
        <v>11017.190652355346</v>
      </c>
      <c r="H72" s="273">
        <f t="shared" si="19"/>
        <v>12462.38970294657</v>
      </c>
      <c r="I72" s="273">
        <f t="shared" si="19"/>
        <v>5960.8708628633367</v>
      </c>
      <c r="J72" s="273">
        <f t="shared" si="19"/>
        <v>4442.0082031361599</v>
      </c>
      <c r="K72" s="273">
        <f t="shared" si="19"/>
        <v>8201.493768755854</v>
      </c>
      <c r="L72" s="273">
        <f t="shared" si="19"/>
        <v>7173.9371797919684</v>
      </c>
      <c r="M72" s="273">
        <f t="shared" si="19"/>
        <v>5064.9390841391123</v>
      </c>
      <c r="N72" s="273">
        <f t="shared" si="19"/>
        <v>3628.386528178426</v>
      </c>
      <c r="O72" s="273">
        <f t="shared" si="19"/>
        <v>4825.3021845238354</v>
      </c>
      <c r="P72" s="273">
        <f t="shared" si="19"/>
        <v>6217.7888283457305</v>
      </c>
    </row>
    <row r="74" spans="3:16" x14ac:dyDescent="0.35">
      <c r="C74" s="163" t="s">
        <v>335</v>
      </c>
    </row>
    <row r="75" spans="3:16" x14ac:dyDescent="0.35">
      <c r="C75" s="260"/>
      <c r="D75" s="260"/>
      <c r="E75" s="261">
        <v>2030</v>
      </c>
      <c r="F75" s="261"/>
      <c r="G75" s="261"/>
      <c r="H75" s="261"/>
      <c r="I75" s="261">
        <v>2040</v>
      </c>
      <c r="J75" s="261"/>
      <c r="K75" s="261"/>
      <c r="L75" s="261"/>
      <c r="M75" s="261">
        <v>2050</v>
      </c>
      <c r="N75" s="261"/>
      <c r="O75" s="261"/>
      <c r="P75" s="261"/>
    </row>
    <row r="76" spans="3:16" x14ac:dyDescent="0.35">
      <c r="C76" s="260"/>
      <c r="D76" s="260"/>
      <c r="E76" s="260" t="s">
        <v>67</v>
      </c>
      <c r="F76" s="260" t="s">
        <v>68</v>
      </c>
      <c r="G76" s="260" t="s">
        <v>69</v>
      </c>
      <c r="H76" s="260" t="s">
        <v>70</v>
      </c>
      <c r="I76" s="260" t="s">
        <v>67</v>
      </c>
      <c r="J76" s="260" t="s">
        <v>68</v>
      </c>
      <c r="K76" s="260" t="s">
        <v>69</v>
      </c>
      <c r="L76" s="260" t="s">
        <v>70</v>
      </c>
      <c r="M76" s="260" t="s">
        <v>67</v>
      </c>
      <c r="N76" s="260" t="s">
        <v>68</v>
      </c>
      <c r="O76" s="260" t="s">
        <v>69</v>
      </c>
      <c r="P76" s="260" t="s">
        <v>70</v>
      </c>
    </row>
    <row r="77" spans="3:16" x14ac:dyDescent="0.35">
      <c r="C77" s="267" t="s">
        <v>299</v>
      </c>
      <c r="D77" s="155" t="s">
        <v>262</v>
      </c>
      <c r="E77" s="273">
        <f t="shared" ref="E77:P77" si="20">E47*E56</f>
        <v>737.54246931472846</v>
      </c>
      <c r="F77" s="273">
        <f t="shared" si="20"/>
        <v>771.47315639102362</v>
      </c>
      <c r="G77" s="273">
        <f t="shared" si="20"/>
        <v>715.31989994932246</v>
      </c>
      <c r="H77" s="273">
        <f t="shared" si="20"/>
        <v>795.47772179107039</v>
      </c>
      <c r="I77" s="273">
        <f t="shared" si="20"/>
        <v>574.70600779712913</v>
      </c>
      <c r="J77" s="273">
        <f t="shared" si="20"/>
        <v>603.40958826155384</v>
      </c>
      <c r="K77" s="273">
        <f t="shared" si="20"/>
        <v>557.61319908433984</v>
      </c>
      <c r="L77" s="273">
        <f t="shared" si="20"/>
        <v>573.74898805289399</v>
      </c>
      <c r="M77" s="273">
        <f t="shared" si="20"/>
        <v>463.42134903199138</v>
      </c>
      <c r="N77" s="273">
        <f t="shared" si="20"/>
        <v>430.98447325976019</v>
      </c>
      <c r="O77" s="273">
        <f t="shared" si="20"/>
        <v>439.51507826683161</v>
      </c>
      <c r="P77" s="273">
        <f t="shared" si="20"/>
        <v>574.26593306858092</v>
      </c>
    </row>
    <row r="78" spans="3:16" x14ac:dyDescent="0.35">
      <c r="C78" s="268"/>
      <c r="D78" s="155" t="s">
        <v>228</v>
      </c>
      <c r="E78" s="273">
        <f t="shared" ref="E78:P78" si="21">E48*E57</f>
        <v>15365.468110723508</v>
      </c>
      <c r="F78" s="273">
        <f t="shared" si="21"/>
        <v>15811.788393548233</v>
      </c>
      <c r="G78" s="273">
        <f t="shared" si="21"/>
        <v>14717.527276912597</v>
      </c>
      <c r="H78" s="273">
        <f t="shared" si="21"/>
        <v>16037.857294174806</v>
      </c>
      <c r="I78" s="273">
        <f t="shared" si="21"/>
        <v>11973.041829106858</v>
      </c>
      <c r="J78" s="273">
        <f t="shared" si="21"/>
        <v>12367.791824871427</v>
      </c>
      <c r="K78" s="273">
        <f t="shared" si="21"/>
        <v>11472.862045153213</v>
      </c>
      <c r="L78" s="273">
        <f t="shared" si="21"/>
        <v>11567.519920421249</v>
      </c>
      <c r="M78" s="273">
        <f t="shared" si="21"/>
        <v>9654.6114381664884</v>
      </c>
      <c r="N78" s="273">
        <f t="shared" si="21"/>
        <v>8812.4135308091154</v>
      </c>
      <c r="O78" s="273">
        <f t="shared" si="21"/>
        <v>9036.2653630650475</v>
      </c>
      <c r="P78" s="273">
        <f t="shared" si="21"/>
        <v>11577.942198963325</v>
      </c>
    </row>
    <row r="79" spans="3:16" x14ac:dyDescent="0.35">
      <c r="C79" s="267" t="s">
        <v>298</v>
      </c>
      <c r="D79" s="155" t="s">
        <v>262</v>
      </c>
      <c r="E79" s="273">
        <f t="shared" ref="E79:P79" si="22">E49*E56</f>
        <v>1021.2126043141852</v>
      </c>
      <c r="F79" s="273">
        <f t="shared" si="22"/>
        <v>1255.1344787299986</v>
      </c>
      <c r="G79" s="273">
        <f t="shared" si="22"/>
        <v>1098.4338524304544</v>
      </c>
      <c r="H79" s="273">
        <f t="shared" si="22"/>
        <v>947.05040810447156</v>
      </c>
      <c r="I79" s="273">
        <f t="shared" si="22"/>
        <v>854.67889410274279</v>
      </c>
      <c r="J79" s="273">
        <f t="shared" si="22"/>
        <v>938.94870077617327</v>
      </c>
      <c r="K79" s="273">
        <f t="shared" si="22"/>
        <v>886.09610776645036</v>
      </c>
      <c r="L79" s="273">
        <f t="shared" si="22"/>
        <v>728.91651987974785</v>
      </c>
      <c r="M79" s="273">
        <f t="shared" si="22"/>
        <v>751.82704417065213</v>
      </c>
      <c r="N79" s="273">
        <f t="shared" si="22"/>
        <v>761.18626060148495</v>
      </c>
      <c r="O79" s="273">
        <f t="shared" si="22"/>
        <v>720.4830989286279</v>
      </c>
      <c r="P79" s="273">
        <f t="shared" si="22"/>
        <v>737.5543438745774</v>
      </c>
    </row>
    <row r="80" spans="3:16" x14ac:dyDescent="0.35">
      <c r="C80" s="268"/>
      <c r="D80" s="155" t="s">
        <v>228</v>
      </c>
      <c r="E80" s="273">
        <f t="shared" ref="E80:P80" si="23">E50*E57</f>
        <v>21275.262589878857</v>
      </c>
      <c r="F80" s="273">
        <f t="shared" si="23"/>
        <v>25804.790921213007</v>
      </c>
      <c r="G80" s="273">
        <f t="shared" si="23"/>
        <v>22633.104807514497</v>
      </c>
      <c r="H80" s="273">
        <f t="shared" si="23"/>
        <v>19093.758227912735</v>
      </c>
      <c r="I80" s="273">
        <f t="shared" si="23"/>
        <v>17805.810293807142</v>
      </c>
      <c r="J80" s="273">
        <f t="shared" si="23"/>
        <v>19300.418116495795</v>
      </c>
      <c r="K80" s="273">
        <f t="shared" si="23"/>
        <v>18259.699001395169</v>
      </c>
      <c r="L80" s="273">
        <f t="shared" si="23"/>
        <v>14695.897578220724</v>
      </c>
      <c r="M80" s="273">
        <f t="shared" si="23"/>
        <v>15663.063420221921</v>
      </c>
      <c r="N80" s="273">
        <f t="shared" si="23"/>
        <v>15634.764508943925</v>
      </c>
      <c r="O80" s="273">
        <f t="shared" si="23"/>
        <v>14841.389756903811</v>
      </c>
      <c r="P80" s="273">
        <f t="shared" si="23"/>
        <v>14870.047255535836</v>
      </c>
    </row>
    <row r="83" spans="3:23" ht="15" thickBot="1" x14ac:dyDescent="0.4">
      <c r="C83" s="258" t="s">
        <v>342</v>
      </c>
      <c r="D83" s="258"/>
      <c r="E83" s="258"/>
      <c r="F83" s="258"/>
      <c r="G83" s="258"/>
      <c r="H83" s="258"/>
      <c r="I83" s="258"/>
      <c r="J83" s="258"/>
      <c r="K83" s="258"/>
      <c r="L83" s="258"/>
      <c r="M83" s="258"/>
      <c r="N83" s="258"/>
      <c r="O83" s="258"/>
      <c r="P83" s="258"/>
      <c r="Q83" s="258"/>
      <c r="R83" s="258"/>
      <c r="S83" s="258"/>
      <c r="T83" s="258"/>
    </row>
    <row r="85" spans="3:23" x14ac:dyDescent="0.35">
      <c r="E85" s="274" t="s">
        <v>66</v>
      </c>
      <c r="F85" s="274"/>
      <c r="G85" s="274" t="s">
        <v>71</v>
      </c>
      <c r="H85" s="274"/>
      <c r="I85" s="274" t="s">
        <v>78</v>
      </c>
      <c r="J85" s="274"/>
      <c r="K85" s="274" t="s">
        <v>337</v>
      </c>
      <c r="L85" s="274"/>
      <c r="P85" s="274" t="s">
        <v>66</v>
      </c>
      <c r="Q85" s="274"/>
      <c r="R85" s="274" t="s">
        <v>71</v>
      </c>
      <c r="S85" s="274"/>
      <c r="T85" s="274" t="s">
        <v>78</v>
      </c>
      <c r="U85" s="274"/>
      <c r="V85" s="274" t="s">
        <v>337</v>
      </c>
      <c r="W85" s="274"/>
    </row>
    <row r="86" spans="3:23" x14ac:dyDescent="0.35">
      <c r="E86" s="275">
        <v>2030</v>
      </c>
      <c r="F86" s="275">
        <v>2050</v>
      </c>
      <c r="G86" s="275">
        <v>2030</v>
      </c>
      <c r="H86" s="275">
        <v>2050</v>
      </c>
      <c r="I86" s="275">
        <v>2030</v>
      </c>
      <c r="J86" s="275">
        <v>2050</v>
      </c>
      <c r="K86" s="275">
        <v>2030</v>
      </c>
      <c r="L86" s="275">
        <v>2050</v>
      </c>
      <c r="P86" s="275">
        <v>2030</v>
      </c>
      <c r="Q86" s="275">
        <v>2050</v>
      </c>
      <c r="R86" s="275">
        <v>2030</v>
      </c>
      <c r="S86" s="275">
        <v>2050</v>
      </c>
      <c r="T86" s="275">
        <v>2030</v>
      </c>
      <c r="U86" s="275">
        <v>2050</v>
      </c>
      <c r="V86" s="275">
        <v>2030</v>
      </c>
      <c r="W86" s="275">
        <v>2050</v>
      </c>
    </row>
    <row r="87" spans="3:23" x14ac:dyDescent="0.35">
      <c r="C87" s="276" t="s">
        <v>262</v>
      </c>
      <c r="D87" s="277" t="s">
        <v>67</v>
      </c>
      <c r="E87" s="285">
        <f>E65</f>
        <v>652.70884559955664</v>
      </c>
      <c r="F87" s="285">
        <f>M65</f>
        <v>510.34889413393546</v>
      </c>
      <c r="G87" s="285">
        <f>E67</f>
        <v>902.28158942624373</v>
      </c>
      <c r="H87" s="285">
        <f>M67</f>
        <v>277.93251996213223</v>
      </c>
      <c r="I87" s="285">
        <f>E69</f>
        <v>667.74477751342613</v>
      </c>
      <c r="J87" s="285">
        <f>M69</f>
        <v>392.45846172252124</v>
      </c>
      <c r="K87" s="285">
        <f>E71</f>
        <v>435.52110776758485</v>
      </c>
      <c r="L87" s="285">
        <f>M71</f>
        <v>243.11707603867737</v>
      </c>
      <c r="N87" s="276" t="s">
        <v>228</v>
      </c>
      <c r="O87" s="277" t="s">
        <v>67</v>
      </c>
      <c r="P87" s="285">
        <f>E66</f>
        <v>13598.100949990763</v>
      </c>
      <c r="Q87" s="285">
        <f>M66</f>
        <v>10632.268627790323</v>
      </c>
      <c r="R87" s="285">
        <f>E68</f>
        <v>18797.533113046746</v>
      </c>
      <c r="S87" s="285">
        <f>M68</f>
        <v>5790.2608325444226</v>
      </c>
      <c r="T87" s="285">
        <f>E70</f>
        <v>13911.34953152971</v>
      </c>
      <c r="U87" s="285">
        <f>M70</f>
        <v>8176.2179525525271</v>
      </c>
      <c r="V87" s="285">
        <f>E72</f>
        <v>9073.356411824685</v>
      </c>
      <c r="W87" s="285">
        <f>M72</f>
        <v>5064.9390841391123</v>
      </c>
    </row>
    <row r="88" spans="3:23" x14ac:dyDescent="0.35">
      <c r="C88" s="279"/>
      <c r="D88" s="277" t="s">
        <v>68</v>
      </c>
      <c r="E88" s="285">
        <f>F65</f>
        <v>643.20266081831255</v>
      </c>
      <c r="F88" s="285">
        <f>N65</f>
        <v>517.73133493348121</v>
      </c>
      <c r="G88" s="285">
        <f>F67</f>
        <v>685.81965306698521</v>
      </c>
      <c r="H88" s="285">
        <f>N67</f>
        <v>255.28965643586017</v>
      </c>
      <c r="I88" s="285">
        <f>F69</f>
        <v>652.36664968295906</v>
      </c>
      <c r="J88" s="285">
        <f>N69</f>
        <v>349.66893368169963</v>
      </c>
      <c r="K88" s="285">
        <f>F71</f>
        <v>533.97059784094563</v>
      </c>
      <c r="L88" s="285">
        <f>N71</f>
        <v>180.07756633243471</v>
      </c>
      <c r="N88" s="279"/>
      <c r="O88" s="277" t="s">
        <v>68</v>
      </c>
      <c r="P88" s="285">
        <f>F66</f>
        <v>13161.571542872387</v>
      </c>
      <c r="Q88" s="285">
        <f>N66</f>
        <v>10604.7040612579</v>
      </c>
      <c r="R88" s="285">
        <f>F68</f>
        <v>14042.087911646617</v>
      </c>
      <c r="S88" s="285">
        <f>N68</f>
        <v>5182.3553319682078</v>
      </c>
      <c r="T88" s="285">
        <f>F70</f>
        <v>13350.910155778305</v>
      </c>
      <c r="U88" s="285">
        <f>N70</f>
        <v>7132.3403990310062</v>
      </c>
      <c r="V88" s="285">
        <f>F72</f>
        <v>10904.710737554888</v>
      </c>
      <c r="W88" s="285">
        <f>N72</f>
        <v>3628.386528178426</v>
      </c>
    </row>
    <row r="89" spans="3:23" x14ac:dyDescent="0.35">
      <c r="C89" s="279"/>
      <c r="D89" s="277" t="s">
        <v>69</v>
      </c>
      <c r="E89" s="285">
        <f>G65</f>
        <v>626.96361545316745</v>
      </c>
      <c r="F89" s="285">
        <f>O65</f>
        <v>484.8909473162077</v>
      </c>
      <c r="G89" s="285">
        <f>G67</f>
        <v>724.07652820882697</v>
      </c>
      <c r="H89" s="285">
        <f>O67</f>
        <v>256.24253665200172</v>
      </c>
      <c r="I89" s="285">
        <f>G69</f>
        <v>641.8501202794464</v>
      </c>
      <c r="J89" s="285">
        <f>O69</f>
        <v>385.63382847517863</v>
      </c>
      <c r="K89" s="285">
        <f>G71</f>
        <v>536.22360732075151</v>
      </c>
      <c r="L89" s="285">
        <f>O71</f>
        <v>235.70446042543691</v>
      </c>
      <c r="N89" s="279"/>
      <c r="O89" s="277" t="s">
        <v>69</v>
      </c>
      <c r="P89" s="285">
        <f>G66</f>
        <v>12891.984208810223</v>
      </c>
      <c r="Q89" s="285">
        <f>O66</f>
        <v>9973.7833186306689</v>
      </c>
      <c r="R89" s="285">
        <f>G68</f>
        <v>14898.449348389964</v>
      </c>
      <c r="S89" s="285">
        <f>O68</f>
        <v>5249.6426024280672</v>
      </c>
      <c r="T89" s="285">
        <f>G70</f>
        <v>13199.556622576314</v>
      </c>
      <c r="U89" s="285">
        <f>O70</f>
        <v>7923.0164004275885</v>
      </c>
      <c r="V89" s="285">
        <f>G72</f>
        <v>11017.190652355346</v>
      </c>
      <c r="W89" s="285">
        <f>O72</f>
        <v>4825.3021845238354</v>
      </c>
    </row>
    <row r="90" spans="3:23" x14ac:dyDescent="0.35">
      <c r="C90" s="279"/>
      <c r="D90" s="277" t="s">
        <v>70</v>
      </c>
      <c r="E90" s="285">
        <f>H65</f>
        <v>755.1760518485147</v>
      </c>
      <c r="F90" s="285">
        <f>P65</f>
        <v>498.19115329458242</v>
      </c>
      <c r="G90" s="285">
        <f>H67</f>
        <v>753.95054720661119</v>
      </c>
      <c r="H90" s="285">
        <f>P67</f>
        <v>325.10128665780013</v>
      </c>
      <c r="I90" s="285">
        <f>H69</f>
        <v>758.45335308841425</v>
      </c>
      <c r="J90" s="285">
        <f>P69</f>
        <v>534.37978686641065</v>
      </c>
      <c r="K90" s="285">
        <f>H71</f>
        <v>618.13452926614991</v>
      </c>
      <c r="L90" s="285">
        <f>P71</f>
        <v>308.40232588594824</v>
      </c>
      <c r="N90" s="279"/>
      <c r="O90" s="277" t="s">
        <v>70</v>
      </c>
      <c r="P90" s="285">
        <f>H66</f>
        <v>15225.323625978119</v>
      </c>
      <c r="Q90" s="285">
        <f>P66</f>
        <v>10044.176477713356</v>
      </c>
      <c r="R90" s="285">
        <f>H68</f>
        <v>15200.615871101032</v>
      </c>
      <c r="S90" s="285">
        <f>P68</f>
        <v>6554.4614245524226</v>
      </c>
      <c r="T90" s="285">
        <f>H70</f>
        <v>15291.398247750287</v>
      </c>
      <c r="U90" s="285">
        <f>P70</f>
        <v>10773.786025532474</v>
      </c>
      <c r="V90" s="285">
        <f>H72</f>
        <v>12462.38970294657</v>
      </c>
      <c r="W90" s="285">
        <f>P72</f>
        <v>6217.7888283457305</v>
      </c>
    </row>
    <row r="91" spans="3:23" x14ac:dyDescent="0.35">
      <c r="E91" s="278"/>
    </row>
    <row r="101" spans="12:12" x14ac:dyDescent="0.35">
      <c r="L101"/>
    </row>
    <row r="102" spans="12:12" x14ac:dyDescent="0.35">
      <c r="L102"/>
    </row>
    <row r="103" spans="12:12" x14ac:dyDescent="0.35">
      <c r="L103" s="278"/>
    </row>
    <row r="104" spans="12:12" x14ac:dyDescent="0.35">
      <c r="L104" s="278"/>
    </row>
    <row r="105" spans="12:12" x14ac:dyDescent="0.35">
      <c r="L105" s="278"/>
    </row>
    <row r="106" spans="12:12" x14ac:dyDescent="0.35">
      <c r="L106" s="278"/>
    </row>
  </sheetData>
  <mergeCells count="56">
    <mergeCell ref="C87:C90"/>
    <mergeCell ref="P85:Q85"/>
    <mergeCell ref="R85:S85"/>
    <mergeCell ref="N87:N90"/>
    <mergeCell ref="E8:H8"/>
    <mergeCell ref="E33:H33"/>
    <mergeCell ref="C35:C36"/>
    <mergeCell ref="C37:C38"/>
    <mergeCell ref="C39:C40"/>
    <mergeCell ref="C41:C42"/>
    <mergeCell ref="E54:H54"/>
    <mergeCell ref="E45:H45"/>
    <mergeCell ref="C47:C48"/>
    <mergeCell ref="C49:C50"/>
    <mergeCell ref="I8:L8"/>
    <mergeCell ref="M8:P8"/>
    <mergeCell ref="E17:H17"/>
    <mergeCell ref="I17:L17"/>
    <mergeCell ref="M17:P17"/>
    <mergeCell ref="I33:L33"/>
    <mergeCell ref="M33:P33"/>
    <mergeCell ref="C10:D10"/>
    <mergeCell ref="C11:D11"/>
    <mergeCell ref="C12:D12"/>
    <mergeCell ref="C13:D13"/>
    <mergeCell ref="C19:D19"/>
    <mergeCell ref="C20:D20"/>
    <mergeCell ref="C26:D26"/>
    <mergeCell ref="C27:D27"/>
    <mergeCell ref="C28:D28"/>
    <mergeCell ref="E24:H24"/>
    <mergeCell ref="I24:L24"/>
    <mergeCell ref="M24:P24"/>
    <mergeCell ref="M45:P45"/>
    <mergeCell ref="C67:C68"/>
    <mergeCell ref="C77:C78"/>
    <mergeCell ref="C79:C80"/>
    <mergeCell ref="C71:C72"/>
    <mergeCell ref="C56:C57"/>
    <mergeCell ref="I75:L75"/>
    <mergeCell ref="M75:P75"/>
    <mergeCell ref="C69:C70"/>
    <mergeCell ref="E75:H75"/>
    <mergeCell ref="E63:H63"/>
    <mergeCell ref="I63:L63"/>
    <mergeCell ref="M63:P63"/>
    <mergeCell ref="C65:C66"/>
    <mergeCell ref="I54:L54"/>
    <mergeCell ref="M54:P54"/>
    <mergeCell ref="T85:U85"/>
    <mergeCell ref="V85:W85"/>
    <mergeCell ref="I45:L45"/>
    <mergeCell ref="E85:F85"/>
    <mergeCell ref="G85:H85"/>
    <mergeCell ref="I85:J85"/>
    <mergeCell ref="K85:L8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A0A75-FC02-49BD-96B6-DF5683369B43}">
  <sheetPr>
    <tabColor theme="0" tint="-0.34998626667073579"/>
  </sheetPr>
  <dimension ref="B2:S1048564"/>
  <sheetViews>
    <sheetView showGridLines="0" workbookViewId="0"/>
  </sheetViews>
  <sheetFormatPr defaultRowHeight="12" x14ac:dyDescent="0.35"/>
  <cols>
    <col min="2" max="2" width="15.75" customWidth="1"/>
    <col min="3" max="3" width="38.75" customWidth="1"/>
    <col min="4" max="4" width="64.75" customWidth="1"/>
  </cols>
  <sheetData>
    <row r="2" spans="2:19" ht="16" thickBot="1" x14ac:dyDescent="0.4">
      <c r="B2" s="2" t="s">
        <v>232</v>
      </c>
      <c r="C2" s="2"/>
      <c r="D2" s="2"/>
      <c r="E2" s="2"/>
      <c r="F2" s="2"/>
      <c r="G2" s="2"/>
      <c r="H2" s="2"/>
      <c r="I2" s="2"/>
      <c r="J2" s="2"/>
      <c r="K2" s="2"/>
      <c r="L2" s="2"/>
      <c r="M2" s="2"/>
      <c r="N2" s="2"/>
      <c r="O2" s="2"/>
      <c r="P2" s="2"/>
      <c r="Q2" s="2"/>
      <c r="R2" s="2"/>
      <c r="S2" s="2"/>
    </row>
    <row r="3" spans="2:19" ht="12.5" thickTop="1" x14ac:dyDescent="0.35"/>
    <row r="5" spans="2:19" x14ac:dyDescent="0.35">
      <c r="B5" s="9" t="s">
        <v>233</v>
      </c>
      <c r="C5" s="9" t="s">
        <v>234</v>
      </c>
      <c r="D5" s="9" t="s">
        <v>235</v>
      </c>
    </row>
    <row r="6" spans="2:19" ht="48" x14ac:dyDescent="0.35">
      <c r="B6" s="151" t="s">
        <v>236</v>
      </c>
      <c r="C6" s="150" t="s">
        <v>239</v>
      </c>
      <c r="D6" s="150" t="s">
        <v>237</v>
      </c>
    </row>
    <row r="7" spans="2:19" ht="48" x14ac:dyDescent="0.35">
      <c r="B7" s="151" t="s">
        <v>236</v>
      </c>
      <c r="C7" s="150" t="s">
        <v>238</v>
      </c>
      <c r="D7" s="152" t="s">
        <v>242</v>
      </c>
    </row>
    <row r="8" spans="2:19" x14ac:dyDescent="0.35">
      <c r="B8" s="151" t="s">
        <v>236</v>
      </c>
      <c r="C8" s="150" t="s">
        <v>240</v>
      </c>
      <c r="D8" s="152" t="s">
        <v>242</v>
      </c>
    </row>
    <row r="9" spans="2:19" ht="24" x14ac:dyDescent="0.35">
      <c r="B9" s="151" t="s">
        <v>139</v>
      </c>
      <c r="C9" s="150" t="s">
        <v>241</v>
      </c>
      <c r="D9" s="152" t="s">
        <v>242</v>
      </c>
    </row>
    <row r="10" spans="2:19" x14ac:dyDescent="0.35">
      <c r="B10" s="151" t="s">
        <v>139</v>
      </c>
      <c r="C10" s="150" t="s">
        <v>261</v>
      </c>
      <c r="D10" s="152" t="s">
        <v>242</v>
      </c>
    </row>
    <row r="11" spans="2:19" ht="24" x14ac:dyDescent="0.35">
      <c r="B11" s="151" t="s">
        <v>138</v>
      </c>
      <c r="C11" s="150" t="s">
        <v>307</v>
      </c>
      <c r="D11" s="152" t="s">
        <v>242</v>
      </c>
    </row>
    <row r="12" spans="2:19" ht="72" x14ac:dyDescent="0.35">
      <c r="B12" s="151" t="s">
        <v>138</v>
      </c>
      <c r="C12" s="150" t="s">
        <v>308</v>
      </c>
      <c r="D12" s="152" t="s">
        <v>242</v>
      </c>
    </row>
    <row r="13" spans="2:19" ht="120" x14ac:dyDescent="0.35">
      <c r="B13" s="151" t="s">
        <v>257</v>
      </c>
      <c r="C13" s="150" t="s">
        <v>317</v>
      </c>
      <c r="D13" s="152" t="s">
        <v>316</v>
      </c>
    </row>
    <row r="1048564" spans="4:4" x14ac:dyDescent="0.35">
      <c r="D1048564" s="15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A6B6C-9DC6-4074-9F59-0512BB750BEA}">
  <sheetPr>
    <tabColor theme="6"/>
  </sheetPr>
  <dimension ref="B2:S79"/>
  <sheetViews>
    <sheetView showGridLines="0" workbookViewId="0"/>
  </sheetViews>
  <sheetFormatPr defaultRowHeight="12" x14ac:dyDescent="0.35"/>
  <cols>
    <col min="2" max="2" width="24.25" customWidth="1"/>
    <col min="3" max="3" width="14" customWidth="1"/>
    <col min="4" max="4" width="17.375" customWidth="1"/>
    <col min="5" max="5" width="17.125" bestFit="1" customWidth="1"/>
    <col min="6" max="6" width="17.375" bestFit="1" customWidth="1"/>
    <col min="7" max="10" width="17.25" customWidth="1"/>
    <col min="11" max="13" width="15.75" bestFit="1" customWidth="1"/>
    <col min="14" max="15" width="17.625" customWidth="1"/>
  </cols>
  <sheetData>
    <row r="2" spans="2:19" ht="16" thickBot="1" x14ac:dyDescent="0.4">
      <c r="B2" s="2" t="s">
        <v>321</v>
      </c>
      <c r="C2" s="2"/>
      <c r="D2" s="2"/>
      <c r="E2" s="2"/>
      <c r="F2" s="2"/>
      <c r="G2" s="2"/>
      <c r="H2" s="2"/>
      <c r="I2" s="2"/>
      <c r="J2" s="2"/>
      <c r="K2" s="2"/>
      <c r="L2" s="2"/>
      <c r="M2" s="2"/>
      <c r="N2" s="2"/>
      <c r="O2" s="2"/>
      <c r="P2" s="2"/>
      <c r="Q2" s="2"/>
      <c r="R2" s="2"/>
      <c r="S2" s="2"/>
    </row>
    <row r="3" spans="2:19" ht="12.5" thickTop="1" x14ac:dyDescent="0.35"/>
    <row r="4" spans="2:19" ht="15" thickBot="1" x14ac:dyDescent="0.4">
      <c r="C4" s="1" t="s">
        <v>145</v>
      </c>
      <c r="D4" s="1"/>
      <c r="E4" s="1"/>
      <c r="F4" s="1"/>
      <c r="G4" s="1"/>
      <c r="H4" s="1"/>
      <c r="I4" s="1"/>
      <c r="J4" s="1"/>
      <c r="K4" s="1"/>
      <c r="L4" s="1"/>
      <c r="M4" s="1"/>
      <c r="N4" s="1"/>
      <c r="O4" s="1"/>
      <c r="P4" s="1"/>
      <c r="Q4" s="1"/>
      <c r="R4" s="1"/>
      <c r="S4" s="1"/>
    </row>
    <row r="6" spans="2:19" s="60" customFormat="1" ht="12" customHeight="1" x14ac:dyDescent="0.45">
      <c r="B6" s="72" t="s">
        <v>101</v>
      </c>
      <c r="C6" s="71"/>
      <c r="D6" s="71"/>
      <c r="E6" s="71"/>
      <c r="F6" s="71"/>
      <c r="G6" s="71"/>
      <c r="H6" s="71"/>
      <c r="I6" s="71"/>
      <c r="J6" s="71"/>
      <c r="K6" s="71"/>
      <c r="L6" s="71"/>
      <c r="M6" s="71"/>
      <c r="N6" s="71"/>
    </row>
    <row r="7" spans="2:19" ht="11" customHeight="1" x14ac:dyDescent="0.45">
      <c r="B7" s="196"/>
      <c r="C7" s="196"/>
      <c r="D7" s="196"/>
      <c r="E7" s="196"/>
      <c r="F7" s="196"/>
      <c r="G7" s="196"/>
      <c r="H7" s="196"/>
      <c r="I7" s="196"/>
      <c r="J7" s="196"/>
      <c r="K7" s="196"/>
      <c r="L7" s="196"/>
      <c r="M7" s="196"/>
      <c r="N7" s="196"/>
    </row>
    <row r="8" spans="2:19" s="99" customFormat="1" ht="13.5" x14ac:dyDescent="0.35">
      <c r="D8" s="142" t="s">
        <v>66</v>
      </c>
      <c r="E8" s="142"/>
      <c r="F8" s="142"/>
      <c r="G8" s="142"/>
      <c r="H8" s="142"/>
      <c r="I8" s="142"/>
      <c r="J8" s="142"/>
      <c r="K8" s="142"/>
      <c r="L8" s="142"/>
      <c r="M8" s="142"/>
      <c r="N8" s="142"/>
      <c r="O8" s="142"/>
      <c r="P8" s="142"/>
      <c r="Q8" s="142"/>
      <c r="R8" s="142"/>
      <c r="S8" s="142"/>
    </row>
    <row r="9" spans="2:19" ht="11" customHeight="1" x14ac:dyDescent="0.45">
      <c r="B9" s="196"/>
      <c r="C9" s="196"/>
      <c r="D9" s="196"/>
      <c r="E9" s="196"/>
      <c r="F9" s="196"/>
      <c r="G9" s="196"/>
      <c r="H9" s="196"/>
      <c r="I9" s="196"/>
      <c r="J9" s="196"/>
      <c r="K9" s="196"/>
      <c r="L9" s="196"/>
      <c r="M9" s="196"/>
      <c r="N9" s="196"/>
    </row>
    <row r="10" spans="2:19" x14ac:dyDescent="0.35">
      <c r="B10" s="197"/>
      <c r="C10" s="225">
        <v>2030</v>
      </c>
      <c r="D10" s="225"/>
      <c r="E10" s="225"/>
      <c r="F10" s="225"/>
      <c r="G10" s="225">
        <v>2040</v>
      </c>
      <c r="H10" s="225"/>
      <c r="I10" s="225"/>
      <c r="J10" s="225"/>
      <c r="K10" s="225">
        <v>2050</v>
      </c>
      <c r="L10" s="225"/>
      <c r="M10" s="225"/>
      <c r="N10" s="225"/>
    </row>
    <row r="11" spans="2:19" s="66" customFormat="1" x14ac:dyDescent="0.35">
      <c r="B11" s="197"/>
      <c r="C11" s="197" t="s">
        <v>67</v>
      </c>
      <c r="D11" s="197" t="s">
        <v>68</v>
      </c>
      <c r="E11" s="197" t="s">
        <v>69</v>
      </c>
      <c r="F11" s="197" t="s">
        <v>70</v>
      </c>
      <c r="G11" s="197" t="s">
        <v>67</v>
      </c>
      <c r="H11" s="197" t="s">
        <v>68</v>
      </c>
      <c r="I11" s="197" t="s">
        <v>69</v>
      </c>
      <c r="J11" s="197" t="s">
        <v>70</v>
      </c>
      <c r="K11" s="197" t="s">
        <v>67</v>
      </c>
      <c r="L11" s="197" t="s">
        <v>68</v>
      </c>
      <c r="M11" s="197" t="s">
        <v>69</v>
      </c>
      <c r="N11" s="197" t="s">
        <v>70</v>
      </c>
    </row>
    <row r="12" spans="2:19" x14ac:dyDescent="0.35">
      <c r="B12" t="s">
        <v>72</v>
      </c>
      <c r="C12" s="193">
        <v>4.1322956152758099</v>
      </c>
      <c r="D12" s="193">
        <v>9.1288080731150103</v>
      </c>
      <c r="E12" s="193">
        <v>18.962759749444299</v>
      </c>
      <c r="F12" s="193">
        <v>17.345131615772299</v>
      </c>
      <c r="G12" s="193">
        <v>3.2566562942008499</v>
      </c>
      <c r="H12" s="193">
        <v>7.1972702970297</v>
      </c>
      <c r="I12" s="193">
        <v>15.936124469589799</v>
      </c>
      <c r="J12" s="193">
        <v>10.545841584158399</v>
      </c>
      <c r="K12" s="193">
        <v>2.8985108199442702</v>
      </c>
      <c r="L12" s="193">
        <v>4.6725280528052799</v>
      </c>
      <c r="M12" s="193">
        <v>12.4472039800995</v>
      </c>
      <c r="N12" s="193">
        <v>7.3084449724165497</v>
      </c>
    </row>
    <row r="13" spans="2:19" x14ac:dyDescent="0.35">
      <c r="B13" t="s">
        <v>73</v>
      </c>
      <c r="C13" s="193">
        <v>0.186</v>
      </c>
      <c r="D13" s="193">
        <v>0.25</v>
      </c>
      <c r="E13" s="193">
        <v>1.0030000000000001</v>
      </c>
      <c r="F13" s="193">
        <v>3.0287284191365877</v>
      </c>
      <c r="G13" s="193">
        <v>0.39300000000000002</v>
      </c>
      <c r="H13" s="193">
        <v>0.38900000000000001</v>
      </c>
      <c r="I13" s="193">
        <v>2.1914285714285699</v>
      </c>
      <c r="J13" s="193">
        <v>4.7928571428571463</v>
      </c>
      <c r="K13" s="193">
        <v>0.59900000000000009</v>
      </c>
      <c r="L13" s="193">
        <v>0.52800000000000002</v>
      </c>
      <c r="M13" s="193">
        <v>3.2320000000000002</v>
      </c>
      <c r="N13" s="193">
        <v>6.4731661311973703</v>
      </c>
    </row>
    <row r="14" spans="2:19" x14ac:dyDescent="0.35">
      <c r="B14" t="s">
        <v>74</v>
      </c>
      <c r="C14" s="193">
        <v>6.6428571428571406E-2</v>
      </c>
      <c r="D14" s="193">
        <v>0.14137471439451599</v>
      </c>
      <c r="E14" s="193">
        <v>0.300960800161649</v>
      </c>
      <c r="F14" s="193">
        <v>0.30711244127127502</v>
      </c>
      <c r="G14" s="193">
        <v>5.6142857142857099E-2</v>
      </c>
      <c r="H14" s="193">
        <v>0.1167</v>
      </c>
      <c r="I14" s="193">
        <v>0.26</v>
      </c>
      <c r="J14" s="193">
        <v>0.22</v>
      </c>
      <c r="K14" s="193">
        <v>5.38023952095808E-2</v>
      </c>
      <c r="L14" s="193">
        <v>0.08</v>
      </c>
      <c r="M14" s="193">
        <v>0.24119402985074601</v>
      </c>
      <c r="N14" s="193">
        <v>0.212003257571966</v>
      </c>
    </row>
    <row r="15" spans="2:19" x14ac:dyDescent="0.35">
      <c r="B15" t="s">
        <v>75</v>
      </c>
      <c r="C15" s="193">
        <v>0</v>
      </c>
      <c r="D15" s="193">
        <v>0</v>
      </c>
      <c r="E15" s="193">
        <v>0</v>
      </c>
      <c r="F15" s="193">
        <v>0</v>
      </c>
      <c r="G15" s="193">
        <v>0</v>
      </c>
      <c r="H15" s="193">
        <v>0</v>
      </c>
      <c r="I15" s="193">
        <v>0</v>
      </c>
      <c r="J15" s="193">
        <v>0</v>
      </c>
      <c r="K15" s="193">
        <v>0</v>
      </c>
      <c r="L15" s="193">
        <v>0</v>
      </c>
      <c r="M15" s="193">
        <v>0</v>
      </c>
      <c r="N15" s="193">
        <v>0</v>
      </c>
    </row>
    <row r="16" spans="2:19" x14ac:dyDescent="0.35">
      <c r="B16" t="s">
        <v>76</v>
      </c>
      <c r="C16" s="193">
        <v>0.15400000000000003</v>
      </c>
      <c r="D16" s="193">
        <v>0</v>
      </c>
      <c r="E16" s="193">
        <v>0</v>
      </c>
      <c r="F16" s="193">
        <v>0.15600000000000003</v>
      </c>
      <c r="G16" s="193">
        <v>0.15400000000000003</v>
      </c>
      <c r="H16" s="193">
        <v>0</v>
      </c>
      <c r="I16" s="193">
        <v>0</v>
      </c>
      <c r="J16" s="193">
        <v>0.15600000000000003</v>
      </c>
      <c r="K16" s="193">
        <v>0.15400000000000003</v>
      </c>
      <c r="L16" s="193">
        <v>0</v>
      </c>
      <c r="M16" s="193">
        <v>0</v>
      </c>
      <c r="N16" s="193">
        <v>0.15600000000000003</v>
      </c>
    </row>
    <row r="17" spans="2:19" x14ac:dyDescent="0.35">
      <c r="B17" t="s">
        <v>77</v>
      </c>
      <c r="C17" s="193">
        <v>1.30063836308095E-2</v>
      </c>
      <c r="D17" s="193">
        <v>4.1007004412392502E-2</v>
      </c>
      <c r="E17" s="193">
        <v>2.4260849377609799</v>
      </c>
      <c r="F17" s="193">
        <v>1.3221002117209</v>
      </c>
      <c r="G17" s="193">
        <v>3.9888383630809501E-2</v>
      </c>
      <c r="H17" s="193">
        <v>8.6607004412392496E-2</v>
      </c>
      <c r="I17" s="193">
        <v>5.1167516047609798</v>
      </c>
      <c r="J17" s="193">
        <v>2.7904002117208999</v>
      </c>
      <c r="K17" s="193">
        <v>7.0780383630809504E-2</v>
      </c>
      <c r="L17" s="193">
        <v>0.13210700441239301</v>
      </c>
      <c r="M17" s="193">
        <v>7.8134182707609803</v>
      </c>
      <c r="N17" s="193">
        <v>4.25980021172089</v>
      </c>
    </row>
    <row r="18" spans="2:19" x14ac:dyDescent="0.35">
      <c r="C18" s="198"/>
      <c r="D18" s="198"/>
      <c r="E18" s="198"/>
      <c r="F18" s="198"/>
      <c r="G18" s="198"/>
      <c r="H18" s="198"/>
      <c r="I18" s="198"/>
      <c r="J18" s="198"/>
      <c r="K18" s="198"/>
      <c r="L18" s="198"/>
      <c r="M18" s="198"/>
      <c r="N18" s="198"/>
    </row>
    <row r="19" spans="2:19" x14ac:dyDescent="0.35">
      <c r="B19" t="s">
        <v>72</v>
      </c>
      <c r="C19" s="199">
        <f>C12/(SUM(C$12:C$15))</f>
        <v>0.94242999999999999</v>
      </c>
      <c r="D19" s="199">
        <f t="shared" ref="D19:N19" si="0">D12/(SUM(D$12:D$15))</f>
        <v>0.95889000000000013</v>
      </c>
      <c r="E19" s="199">
        <f t="shared" si="0"/>
        <v>0.93565999999999983</v>
      </c>
      <c r="F19" s="199">
        <f t="shared" si="0"/>
        <v>0.83869999999999989</v>
      </c>
      <c r="G19" s="199">
        <f t="shared" si="0"/>
        <v>0.87880000000000014</v>
      </c>
      <c r="H19" s="199">
        <f t="shared" si="0"/>
        <v>0.93435000000000001</v>
      </c>
      <c r="I19" s="199">
        <f t="shared" si="0"/>
        <v>0.86667999999999989</v>
      </c>
      <c r="J19" s="199">
        <f t="shared" si="0"/>
        <v>0.67780999999999947</v>
      </c>
      <c r="K19" s="199">
        <f t="shared" si="0"/>
        <v>0.81618000000000002</v>
      </c>
      <c r="L19" s="199">
        <f t="shared" si="0"/>
        <v>0.88485999999999987</v>
      </c>
      <c r="M19" s="199">
        <f t="shared" si="0"/>
        <v>0.78183999999999998</v>
      </c>
      <c r="N19" s="199">
        <f t="shared" si="0"/>
        <v>0.52226999999999979</v>
      </c>
    </row>
    <row r="20" spans="2:19" x14ac:dyDescent="0.35">
      <c r="B20" t="s">
        <v>73</v>
      </c>
      <c r="C20" s="199">
        <f>C13/(SUM(C$12:C$15))</f>
        <v>4.2420000000000034E-2</v>
      </c>
      <c r="D20" s="199">
        <f t="shared" ref="D20:N20" si="1">D13/(SUM(D$12:D$15))</f>
        <v>2.6259999999999985E-2</v>
      </c>
      <c r="E20" s="199">
        <f t="shared" si="1"/>
        <v>4.9490000000000083E-2</v>
      </c>
      <c r="F20" s="199">
        <f t="shared" si="1"/>
        <v>0.14645000000000014</v>
      </c>
      <c r="G20" s="199">
        <f t="shared" si="1"/>
        <v>0.10604999999999998</v>
      </c>
      <c r="H20" s="199">
        <f t="shared" si="1"/>
        <v>5.0500000000000024E-2</v>
      </c>
      <c r="I20" s="199">
        <f t="shared" si="1"/>
        <v>0.11918000000000002</v>
      </c>
      <c r="J20" s="199">
        <f t="shared" si="1"/>
        <v>0.30805000000000049</v>
      </c>
      <c r="K20" s="199">
        <f t="shared" si="1"/>
        <v>0.16867000000000001</v>
      </c>
      <c r="L20" s="199">
        <f t="shared" si="1"/>
        <v>9.9990000000000009E-2</v>
      </c>
      <c r="M20" s="199">
        <f t="shared" si="1"/>
        <v>0.20301000000000002</v>
      </c>
      <c r="N20" s="199">
        <f t="shared" si="1"/>
        <v>0.46258000000000021</v>
      </c>
    </row>
    <row r="21" spans="2:19" x14ac:dyDescent="0.35">
      <c r="B21" t="s">
        <v>74</v>
      </c>
      <c r="C21" s="199">
        <f>C14/(SUM(C$12:C$15))</f>
        <v>1.5150000000000007E-2</v>
      </c>
      <c r="D21" s="199">
        <f t="shared" ref="D21:N21" si="2">D14/(SUM(D$12:D$15))</f>
        <v>1.484999999999995E-2</v>
      </c>
      <c r="E21" s="199">
        <f t="shared" si="2"/>
        <v>1.4850000000000032E-2</v>
      </c>
      <c r="F21" s="199">
        <f t="shared" si="2"/>
        <v>1.4849999999999981E-2</v>
      </c>
      <c r="G21" s="199">
        <f t="shared" si="2"/>
        <v>1.5149999999999985E-2</v>
      </c>
      <c r="H21" s="199">
        <f t="shared" si="2"/>
        <v>1.5150000000000005E-2</v>
      </c>
      <c r="I21" s="199">
        <f t="shared" si="2"/>
        <v>1.4140000000000014E-2</v>
      </c>
      <c r="J21" s="199">
        <f t="shared" si="2"/>
        <v>1.4140000000000012E-2</v>
      </c>
      <c r="K21" s="199">
        <f t="shared" si="2"/>
        <v>1.5149999999999988E-2</v>
      </c>
      <c r="L21" s="199">
        <f t="shared" si="2"/>
        <v>1.515E-2</v>
      </c>
      <c r="M21" s="199">
        <f t="shared" si="2"/>
        <v>1.5149999999999985E-2</v>
      </c>
      <c r="N21" s="199">
        <f t="shared" si="2"/>
        <v>1.5149999999999988E-2</v>
      </c>
    </row>
    <row r="22" spans="2:19" x14ac:dyDescent="0.35">
      <c r="B22" t="s">
        <v>75</v>
      </c>
      <c r="C22" s="199">
        <f>C15/(SUM(C$12:C$15))</f>
        <v>0</v>
      </c>
      <c r="D22" s="199">
        <f t="shared" ref="D22:N22" si="3">D15/(SUM(D$12:D$15))</f>
        <v>0</v>
      </c>
      <c r="E22" s="199">
        <f t="shared" si="3"/>
        <v>0</v>
      </c>
      <c r="F22" s="199">
        <f t="shared" si="3"/>
        <v>0</v>
      </c>
      <c r="G22" s="199">
        <f t="shared" si="3"/>
        <v>0</v>
      </c>
      <c r="H22" s="199">
        <f t="shared" si="3"/>
        <v>0</v>
      </c>
      <c r="I22" s="199">
        <f t="shared" si="3"/>
        <v>0</v>
      </c>
      <c r="J22" s="199">
        <f t="shared" si="3"/>
        <v>0</v>
      </c>
      <c r="K22" s="199">
        <f t="shared" si="3"/>
        <v>0</v>
      </c>
      <c r="L22" s="199">
        <f t="shared" si="3"/>
        <v>0</v>
      </c>
      <c r="M22" s="199">
        <f t="shared" si="3"/>
        <v>0</v>
      </c>
      <c r="N22" s="199">
        <f t="shared" si="3"/>
        <v>0</v>
      </c>
    </row>
    <row r="23" spans="2:19" x14ac:dyDescent="0.35">
      <c r="C23" s="198"/>
      <c r="D23" s="198"/>
      <c r="E23" s="198"/>
      <c r="F23" s="198"/>
      <c r="G23" s="198"/>
      <c r="H23" s="198"/>
      <c r="I23" s="198"/>
      <c r="J23" s="198"/>
      <c r="K23" s="198"/>
      <c r="L23" s="198"/>
      <c r="M23" s="198"/>
      <c r="N23" s="198"/>
    </row>
    <row r="24" spans="2:19" x14ac:dyDescent="0.35">
      <c r="B24" s="201" t="s">
        <v>100</v>
      </c>
      <c r="C24" s="198"/>
      <c r="D24" s="198"/>
      <c r="E24" s="198"/>
      <c r="F24" s="198"/>
      <c r="G24" s="198"/>
      <c r="H24" s="198"/>
      <c r="I24" s="198"/>
      <c r="J24" s="198"/>
      <c r="K24" s="198"/>
      <c r="L24" s="198"/>
      <c r="M24" s="198"/>
      <c r="N24" s="198"/>
    </row>
    <row r="25" spans="2:19" x14ac:dyDescent="0.35">
      <c r="C25" s="198"/>
      <c r="D25" s="198"/>
      <c r="E25" s="198"/>
      <c r="F25" s="198"/>
      <c r="G25" s="198"/>
      <c r="H25" s="198"/>
      <c r="I25" s="198"/>
      <c r="J25" s="198"/>
      <c r="K25" s="198"/>
      <c r="L25" s="198"/>
      <c r="M25" s="198"/>
      <c r="N25" s="198"/>
    </row>
    <row r="26" spans="2:19" s="99" customFormat="1" ht="13.5" x14ac:dyDescent="0.35">
      <c r="D26" s="142" t="s">
        <v>71</v>
      </c>
      <c r="E26" s="142"/>
      <c r="F26" s="142"/>
      <c r="G26" s="142"/>
      <c r="H26" s="142"/>
      <c r="I26" s="142"/>
      <c r="J26" s="142"/>
      <c r="K26" s="142"/>
      <c r="L26" s="142"/>
      <c r="M26" s="142"/>
      <c r="N26" s="142"/>
      <c r="O26" s="142"/>
      <c r="P26" s="142"/>
      <c r="Q26" s="142"/>
      <c r="R26" s="142"/>
      <c r="S26" s="142"/>
    </row>
    <row r="27" spans="2:19" x14ac:dyDescent="0.35">
      <c r="C27" s="200"/>
      <c r="D27" s="200"/>
      <c r="E27" s="200"/>
      <c r="F27" s="200"/>
      <c r="G27" s="200"/>
    </row>
    <row r="28" spans="2:19" x14ac:dyDescent="0.35">
      <c r="B28" s="197"/>
      <c r="C28" s="225">
        <v>2030</v>
      </c>
      <c r="D28" s="225"/>
      <c r="E28" s="225"/>
      <c r="F28" s="225"/>
      <c r="G28" s="225">
        <v>2040</v>
      </c>
      <c r="H28" s="225"/>
      <c r="I28" s="225"/>
      <c r="J28" s="225"/>
      <c r="K28" s="225">
        <v>2050</v>
      </c>
      <c r="L28" s="225"/>
      <c r="M28" s="225"/>
      <c r="N28" s="225"/>
    </row>
    <row r="29" spans="2:19" s="66" customFormat="1" x14ac:dyDescent="0.35">
      <c r="B29" s="197"/>
      <c r="C29" s="197" t="s">
        <v>67</v>
      </c>
      <c r="D29" s="197" t="s">
        <v>68</v>
      </c>
      <c r="E29" s="197" t="s">
        <v>69</v>
      </c>
      <c r="F29" s="197" t="s">
        <v>70</v>
      </c>
      <c r="G29" s="197" t="s">
        <v>67</v>
      </c>
      <c r="H29" s="197" t="s">
        <v>68</v>
      </c>
      <c r="I29" s="197" t="s">
        <v>69</v>
      </c>
      <c r="J29" s="197" t="s">
        <v>70</v>
      </c>
      <c r="K29" s="197" t="s">
        <v>67</v>
      </c>
      <c r="L29" s="197" t="s">
        <v>68</v>
      </c>
      <c r="M29" s="197" t="s">
        <v>69</v>
      </c>
      <c r="N29" s="197" t="s">
        <v>70</v>
      </c>
    </row>
    <row r="30" spans="2:19" x14ac:dyDescent="0.35">
      <c r="B30" t="s">
        <v>72</v>
      </c>
      <c r="C30" s="193">
        <v>2.5863630363036298</v>
      </c>
      <c r="D30" s="193">
        <v>6.6375841584158399</v>
      </c>
      <c r="E30" s="193">
        <v>13.1703663366337</v>
      </c>
      <c r="F30" s="193">
        <v>12.976813929668801</v>
      </c>
      <c r="G30" s="193">
        <v>1.006</v>
      </c>
      <c r="H30" s="193">
        <v>2.02</v>
      </c>
      <c r="I30" s="193">
        <v>5.71</v>
      </c>
      <c r="J30" s="193">
        <v>4.6439351935193498</v>
      </c>
      <c r="K30" s="193">
        <v>0</v>
      </c>
      <c r="L30" s="193">
        <v>0</v>
      </c>
      <c r="M30" s="193">
        <v>0</v>
      </c>
      <c r="N30" s="193">
        <v>0</v>
      </c>
    </row>
    <row r="31" spans="2:19" x14ac:dyDescent="0.35">
      <c r="B31" t="s">
        <v>73</v>
      </c>
      <c r="C31" s="193">
        <v>0.64900000000000002</v>
      </c>
      <c r="D31" s="193">
        <v>2.2040000000000002</v>
      </c>
      <c r="E31" s="193">
        <v>2.7123333333333344</v>
      </c>
      <c r="F31" s="193">
        <v>3.5070000000000006</v>
      </c>
      <c r="G31" s="193">
        <v>1.5</v>
      </c>
      <c r="H31" s="193">
        <v>2.4798014384135154</v>
      </c>
      <c r="I31" s="193">
        <v>5.337133333333334</v>
      </c>
      <c r="J31" s="193">
        <v>5.161090909090909</v>
      </c>
      <c r="K31" s="193">
        <v>2.246</v>
      </c>
      <c r="L31" s="193">
        <v>2.7782376903349397</v>
      </c>
      <c r="M31" s="193">
        <v>8</v>
      </c>
      <c r="N31" s="193">
        <v>9.2520000000000007</v>
      </c>
    </row>
    <row r="32" spans="2:19" x14ac:dyDescent="0.35">
      <c r="B32" t="s">
        <v>74</v>
      </c>
      <c r="C32" s="193">
        <v>0.11</v>
      </c>
      <c r="D32" s="193">
        <v>0.27935643564356399</v>
      </c>
      <c r="E32" s="193">
        <v>0.51500000000000001</v>
      </c>
      <c r="F32" s="193">
        <v>0.621</v>
      </c>
      <c r="G32" s="193">
        <v>8.2000000000000003E-2</v>
      </c>
      <c r="H32" s="193">
        <v>0.17220843322316101</v>
      </c>
      <c r="I32" s="193">
        <v>0.35899999999999999</v>
      </c>
      <c r="J32" s="193">
        <v>0.45600000000000002</v>
      </c>
      <c r="K32" s="193">
        <v>7.3999999999999996E-2</v>
      </c>
      <c r="L32" s="193">
        <v>0.11008720051625399</v>
      </c>
      <c r="M32" s="193">
        <v>0.27300000000000002</v>
      </c>
      <c r="N32" s="193">
        <v>0.41199999999999998</v>
      </c>
    </row>
    <row r="33" spans="2:19" x14ac:dyDescent="0.35">
      <c r="B33" t="s">
        <v>75</v>
      </c>
      <c r="C33" s="193">
        <v>0.28499999999999998</v>
      </c>
      <c r="D33" s="193">
        <v>0.28499999999999998</v>
      </c>
      <c r="E33" s="193">
        <v>0.59899999999999998</v>
      </c>
      <c r="F33" s="193">
        <v>0</v>
      </c>
      <c r="G33" s="193">
        <v>0.18</v>
      </c>
      <c r="H33" s="193">
        <v>0.97099999999999997</v>
      </c>
      <c r="I33" s="193">
        <v>0.443</v>
      </c>
      <c r="J33" s="193">
        <v>0</v>
      </c>
      <c r="K33" s="193">
        <v>0.13100000000000001</v>
      </c>
      <c r="L33" s="193">
        <v>0.81831485717082098</v>
      </c>
      <c r="M33" s="193">
        <v>0.77300000000000002</v>
      </c>
      <c r="N33" s="193">
        <v>0</v>
      </c>
    </row>
    <row r="34" spans="2:19" x14ac:dyDescent="0.35">
      <c r="B34" t="s">
        <v>76</v>
      </c>
      <c r="C34" s="193">
        <v>0.15400000000000003</v>
      </c>
      <c r="D34" s="193">
        <v>0</v>
      </c>
      <c r="E34" s="193">
        <v>0</v>
      </c>
      <c r="F34" s="193">
        <v>0.15600000000000003</v>
      </c>
      <c r="G34" s="193">
        <v>0.15400000000000003</v>
      </c>
      <c r="H34" s="193">
        <v>0</v>
      </c>
      <c r="I34" s="193">
        <v>0</v>
      </c>
      <c r="J34" s="193">
        <v>0.15600000000000003</v>
      </c>
      <c r="K34" s="193">
        <v>0.15400000000000003</v>
      </c>
      <c r="L34" s="193">
        <v>0</v>
      </c>
      <c r="M34" s="193">
        <v>0</v>
      </c>
      <c r="N34" s="193">
        <v>0.15600000000000003</v>
      </c>
    </row>
    <row r="35" spans="2:19" x14ac:dyDescent="0.35">
      <c r="B35" t="s">
        <v>77</v>
      </c>
      <c r="C35" s="193">
        <v>1.30063836308095E-2</v>
      </c>
      <c r="D35" s="193">
        <v>4.1007004412392599E-2</v>
      </c>
      <c r="E35" s="193">
        <v>2.4260849377609799</v>
      </c>
      <c r="F35" s="193">
        <v>1.3221002117209</v>
      </c>
      <c r="G35" s="193">
        <v>3.9888383630809501E-2</v>
      </c>
      <c r="H35" s="193">
        <v>8.6607004412392496E-2</v>
      </c>
      <c r="I35" s="193">
        <v>5.1167516047609798</v>
      </c>
      <c r="J35" s="193">
        <v>2.7904002117208999</v>
      </c>
      <c r="K35" s="193">
        <v>7.0780383630809504E-2</v>
      </c>
      <c r="L35" s="193">
        <v>0.13210700441239301</v>
      </c>
      <c r="M35" s="193">
        <v>7.8134182707609803</v>
      </c>
      <c r="N35" s="193">
        <v>2.7904002117208999</v>
      </c>
    </row>
    <row r="36" spans="2:19" x14ac:dyDescent="0.35">
      <c r="C36" s="198"/>
      <c r="D36" s="198"/>
      <c r="E36" s="198"/>
      <c r="F36" s="198"/>
      <c r="G36" s="198"/>
      <c r="H36" s="198"/>
      <c r="I36" s="198"/>
      <c r="J36" s="198"/>
      <c r="K36" s="198"/>
      <c r="L36" s="198"/>
      <c r="M36" s="198"/>
      <c r="N36" s="198"/>
    </row>
    <row r="37" spans="2:19" x14ac:dyDescent="0.35">
      <c r="B37" t="s">
        <v>72</v>
      </c>
      <c r="C37" s="98">
        <f>C30/(SUM(C$30:C$33))</f>
        <v>0.71242545454545447</v>
      </c>
      <c r="D37" s="98">
        <f t="shared" ref="D37:N37" si="4">D30/(SUM(D$30:D$33))</f>
        <v>0.70567999999999997</v>
      </c>
      <c r="E37" s="98">
        <f t="shared" si="4"/>
        <v>0.77487786407767023</v>
      </c>
      <c r="F37" s="98">
        <f t="shared" si="4"/>
        <v>0.75866443113772419</v>
      </c>
      <c r="G37" s="98">
        <f t="shared" si="4"/>
        <v>0.36343930635838145</v>
      </c>
      <c r="H37" s="98">
        <f t="shared" si="4"/>
        <v>0.35796499491398681</v>
      </c>
      <c r="I37" s="98">
        <f t="shared" si="4"/>
        <v>0.48189178392793841</v>
      </c>
      <c r="J37" s="98">
        <f t="shared" si="4"/>
        <v>0.45257999999999987</v>
      </c>
      <c r="K37" s="98">
        <f t="shared" si="4"/>
        <v>0</v>
      </c>
      <c r="L37" s="98">
        <f t="shared" si="4"/>
        <v>0</v>
      </c>
      <c r="M37" s="98">
        <f t="shared" si="4"/>
        <v>0</v>
      </c>
      <c r="N37" s="98">
        <f t="shared" si="4"/>
        <v>0</v>
      </c>
    </row>
    <row r="38" spans="2:19" x14ac:dyDescent="0.35">
      <c r="B38" t="s">
        <v>73</v>
      </c>
      <c r="C38" s="98">
        <f t="shared" ref="C38:N40" si="5">C31/(SUM(C$30:C$33))</f>
        <v>0.17877000000000004</v>
      </c>
      <c r="D38" s="98">
        <f t="shared" si="5"/>
        <v>0.23432000000000008</v>
      </c>
      <c r="E38" s="98">
        <f t="shared" si="5"/>
        <v>0.15957999999999969</v>
      </c>
      <c r="F38" s="98">
        <f t="shared" si="5"/>
        <v>0.20503000000000038</v>
      </c>
      <c r="G38" s="98">
        <f t="shared" si="5"/>
        <v>0.54190751445086704</v>
      </c>
      <c r="H38" s="98">
        <f t="shared" si="5"/>
        <v>0.43944658875712433</v>
      </c>
      <c r="I38" s="98">
        <f t="shared" si="5"/>
        <v>0.45042394099146493</v>
      </c>
      <c r="J38" s="98">
        <f t="shared" si="5"/>
        <v>0.50298000000000009</v>
      </c>
      <c r="K38" s="98">
        <f t="shared" si="5"/>
        <v>0.9163606691146472</v>
      </c>
      <c r="L38" s="98">
        <f t="shared" si="5"/>
        <v>0.74952999999999981</v>
      </c>
      <c r="M38" s="98">
        <f t="shared" si="5"/>
        <v>0.88436878178200318</v>
      </c>
      <c r="N38" s="98">
        <f t="shared" si="5"/>
        <v>0.95736754966887405</v>
      </c>
    </row>
    <row r="39" spans="2:19" x14ac:dyDescent="0.35">
      <c r="B39" t="s">
        <v>74</v>
      </c>
      <c r="C39" s="98">
        <f t="shared" si="5"/>
        <v>3.0300000000000004E-2</v>
      </c>
      <c r="D39" s="98">
        <f t="shared" si="5"/>
        <v>2.9699999999999969E-2</v>
      </c>
      <c r="E39" s="98">
        <f t="shared" si="5"/>
        <v>3.0299999999999931E-2</v>
      </c>
      <c r="F39" s="98">
        <f t="shared" si="5"/>
        <v>3.6305568862275511E-2</v>
      </c>
      <c r="G39" s="98">
        <f t="shared" si="5"/>
        <v>2.9624277456647398E-2</v>
      </c>
      <c r="H39" s="98">
        <f t="shared" si="5"/>
        <v>3.0517124219244785E-2</v>
      </c>
      <c r="I39" s="98">
        <f t="shared" si="5"/>
        <v>3.0297574506152346E-2</v>
      </c>
      <c r="J39" s="98">
        <f t="shared" si="5"/>
        <v>4.4440000000000007E-2</v>
      </c>
      <c r="K39" s="98">
        <f t="shared" si="5"/>
        <v>3.0191758465932274E-2</v>
      </c>
      <c r="L39" s="98">
        <f t="shared" si="5"/>
        <v>2.9700000000000042E-2</v>
      </c>
      <c r="M39" s="98">
        <f t="shared" si="5"/>
        <v>3.0179084678310861E-2</v>
      </c>
      <c r="N39" s="98">
        <f t="shared" si="5"/>
        <v>4.2632450331125817E-2</v>
      </c>
    </row>
    <row r="40" spans="2:19" x14ac:dyDescent="0.35">
      <c r="B40" t="s">
        <v>75</v>
      </c>
      <c r="C40" s="98">
        <f t="shared" si="5"/>
        <v>7.8504545454545452E-2</v>
      </c>
      <c r="D40" s="98">
        <f t="shared" si="5"/>
        <v>3.0300000000000004E-2</v>
      </c>
      <c r="E40" s="98">
        <f t="shared" si="5"/>
        <v>3.5242135922330012E-2</v>
      </c>
      <c r="F40" s="98">
        <f t="shared" si="5"/>
        <v>0</v>
      </c>
      <c r="G40" s="98">
        <f t="shared" si="5"/>
        <v>6.5028901734104042E-2</v>
      </c>
      <c r="H40" s="98">
        <f t="shared" si="5"/>
        <v>0.17207129210964414</v>
      </c>
      <c r="I40" s="98">
        <f t="shared" si="5"/>
        <v>3.7386700574444258E-2</v>
      </c>
      <c r="J40" s="98">
        <f t="shared" si="5"/>
        <v>0</v>
      </c>
      <c r="K40" s="98">
        <f t="shared" si="5"/>
        <v>5.3447572419420657E-2</v>
      </c>
      <c r="L40" s="98">
        <f t="shared" si="5"/>
        <v>0.22077000000000022</v>
      </c>
      <c r="M40" s="98">
        <f t="shared" si="5"/>
        <v>8.5452133539686059E-2</v>
      </c>
      <c r="N40" s="98">
        <f t="shared" si="5"/>
        <v>0</v>
      </c>
    </row>
    <row r="41" spans="2:19" x14ac:dyDescent="0.35">
      <c r="C41" s="198"/>
      <c r="D41" s="198"/>
      <c r="E41" s="198"/>
      <c r="F41" s="198"/>
      <c r="G41" s="198"/>
      <c r="H41" s="198"/>
      <c r="I41" s="198"/>
      <c r="J41" s="198"/>
      <c r="K41" s="198"/>
      <c r="L41" s="198"/>
      <c r="M41" s="198"/>
      <c r="N41" s="198"/>
    </row>
    <row r="42" spans="2:19" x14ac:dyDescent="0.35">
      <c r="B42" s="201" t="s">
        <v>100</v>
      </c>
      <c r="C42" s="198"/>
      <c r="D42" s="198"/>
      <c r="E42" s="198"/>
      <c r="F42" s="198"/>
      <c r="G42" s="198"/>
      <c r="H42" s="198"/>
      <c r="I42" s="198"/>
      <c r="J42" s="198"/>
      <c r="K42" s="198"/>
      <c r="L42" s="198"/>
      <c r="M42" s="198"/>
      <c r="N42" s="198"/>
    </row>
    <row r="43" spans="2:19" x14ac:dyDescent="0.35">
      <c r="C43" s="198"/>
      <c r="D43" s="198"/>
      <c r="E43" s="198"/>
      <c r="F43" s="198"/>
      <c r="G43" s="198"/>
      <c r="H43" s="198"/>
      <c r="I43" s="198"/>
      <c r="J43" s="198"/>
      <c r="K43" s="198"/>
      <c r="L43" s="198"/>
      <c r="M43" s="198"/>
      <c r="N43" s="198"/>
    </row>
    <row r="44" spans="2:19" s="99" customFormat="1" ht="13.5" x14ac:dyDescent="0.35">
      <c r="D44" s="142" t="s">
        <v>78</v>
      </c>
      <c r="E44" s="142"/>
      <c r="F44" s="142"/>
      <c r="G44" s="142"/>
      <c r="H44" s="142"/>
      <c r="I44" s="142"/>
      <c r="J44" s="142"/>
      <c r="K44" s="142"/>
      <c r="L44" s="142"/>
      <c r="M44" s="142"/>
      <c r="N44" s="142"/>
      <c r="O44" s="142"/>
      <c r="P44" s="142"/>
      <c r="Q44" s="142"/>
      <c r="R44" s="142"/>
      <c r="S44" s="142"/>
    </row>
    <row r="46" spans="2:19" x14ac:dyDescent="0.35">
      <c r="B46" s="197"/>
      <c r="C46" s="225">
        <v>2030</v>
      </c>
      <c r="D46" s="225"/>
      <c r="E46" s="225"/>
      <c r="F46" s="225"/>
      <c r="G46" s="225">
        <v>2040</v>
      </c>
      <c r="H46" s="225"/>
      <c r="I46" s="225"/>
      <c r="J46" s="225"/>
      <c r="K46" s="225">
        <v>2050</v>
      </c>
      <c r="L46" s="225"/>
      <c r="M46" s="225"/>
      <c r="N46" s="225"/>
    </row>
    <row r="47" spans="2:19" s="66" customFormat="1" x14ac:dyDescent="0.35">
      <c r="B47" s="197"/>
      <c r="C47" s="205" t="s">
        <v>67</v>
      </c>
      <c r="D47" s="205" t="s">
        <v>68</v>
      </c>
      <c r="E47" s="205" t="s">
        <v>69</v>
      </c>
      <c r="F47" s="205" t="s">
        <v>70</v>
      </c>
      <c r="G47" s="205" t="s">
        <v>67</v>
      </c>
      <c r="H47" s="205" t="s">
        <v>68</v>
      </c>
      <c r="I47" s="205" t="s">
        <v>69</v>
      </c>
      <c r="J47" s="205" t="s">
        <v>70</v>
      </c>
      <c r="K47" s="205" t="s">
        <v>67</v>
      </c>
      <c r="L47" s="205" t="s">
        <v>68</v>
      </c>
      <c r="M47" s="205" t="s">
        <v>69</v>
      </c>
      <c r="N47" s="205" t="s">
        <v>70</v>
      </c>
    </row>
    <row r="48" spans="2:19" x14ac:dyDescent="0.35">
      <c r="B48" t="s">
        <v>72</v>
      </c>
      <c r="C48" s="194">
        <v>3.21759830268741</v>
      </c>
      <c r="D48" s="194">
        <v>7.4718682225744404</v>
      </c>
      <c r="E48" s="194">
        <v>15.3952088207289</v>
      </c>
      <c r="F48" s="194">
        <v>12.596122428568901</v>
      </c>
      <c r="G48" s="194">
        <v>1.4927930923911801</v>
      </c>
      <c r="H48" s="194">
        <v>4.7781787773971001</v>
      </c>
      <c r="I48" s="194">
        <v>9.2974733074275608</v>
      </c>
      <c r="J48" s="194">
        <v>4.9413750683840698</v>
      </c>
      <c r="K48" s="193">
        <v>0</v>
      </c>
      <c r="L48" s="193">
        <v>0</v>
      </c>
      <c r="M48" s="193">
        <v>0</v>
      </c>
      <c r="N48" s="193">
        <v>0</v>
      </c>
    </row>
    <row r="49" spans="2:19" x14ac:dyDescent="0.35">
      <c r="B49" t="s">
        <v>73</v>
      </c>
      <c r="C49" s="193">
        <v>0.186</v>
      </c>
      <c r="D49" s="193">
        <v>0.25</v>
      </c>
      <c r="E49" s="193">
        <v>1.0030000000000001</v>
      </c>
      <c r="F49" s="193">
        <v>3.087715658044111</v>
      </c>
      <c r="G49" s="193">
        <v>0.39300000000000002</v>
      </c>
      <c r="H49" s="193">
        <v>0.38900000000000001</v>
      </c>
      <c r="I49" s="193">
        <v>2.117</v>
      </c>
      <c r="J49" s="193">
        <v>3.6153372103985255</v>
      </c>
      <c r="K49" s="193">
        <v>0</v>
      </c>
      <c r="L49" s="193">
        <v>0</v>
      </c>
      <c r="M49" s="193">
        <v>0</v>
      </c>
      <c r="N49" s="193">
        <v>0</v>
      </c>
    </row>
    <row r="50" spans="2:19" x14ac:dyDescent="0.35">
      <c r="B50" t="s">
        <v>74</v>
      </c>
      <c r="C50" s="193">
        <v>0.104181046676096</v>
      </c>
      <c r="D50" s="193">
        <v>0.23635935917804901</v>
      </c>
      <c r="E50" s="193">
        <v>0.50193424917618101</v>
      </c>
      <c r="F50" s="193">
        <v>0.48006801110213998</v>
      </c>
      <c r="G50" s="193">
        <v>5.89249568933203E-2</v>
      </c>
      <c r="H50" s="193">
        <v>0.16145768480471501</v>
      </c>
      <c r="I50" s="193">
        <v>0.35666550604831898</v>
      </c>
      <c r="J50" s="193">
        <v>0.26736968345582401</v>
      </c>
      <c r="K50" s="193">
        <v>1.5609999999999999</v>
      </c>
      <c r="L50" s="193">
        <v>3.157</v>
      </c>
      <c r="M50" s="193">
        <v>10.739000000000001</v>
      </c>
      <c r="N50" s="193">
        <v>3.4740000000000002</v>
      </c>
    </row>
    <row r="51" spans="2:19" x14ac:dyDescent="0.35">
      <c r="B51" t="s">
        <v>75</v>
      </c>
      <c r="C51" s="193">
        <v>0</v>
      </c>
      <c r="D51" s="193">
        <v>0</v>
      </c>
      <c r="E51" s="193">
        <v>0</v>
      </c>
      <c r="F51" s="193">
        <v>0</v>
      </c>
      <c r="G51" s="193">
        <v>0</v>
      </c>
      <c r="H51" s="193">
        <v>0</v>
      </c>
      <c r="I51" s="193">
        <v>0</v>
      </c>
      <c r="J51" s="193">
        <v>0</v>
      </c>
      <c r="K51" s="193">
        <v>0</v>
      </c>
      <c r="L51" s="193">
        <v>0</v>
      </c>
      <c r="M51" s="193">
        <v>0</v>
      </c>
      <c r="N51" s="193">
        <v>0</v>
      </c>
    </row>
    <row r="52" spans="2:19" x14ac:dyDescent="0.35">
      <c r="B52" t="s">
        <v>76</v>
      </c>
      <c r="C52" s="193">
        <v>0.15400000000000003</v>
      </c>
      <c r="D52" s="193">
        <v>0</v>
      </c>
      <c r="E52" s="193">
        <v>0</v>
      </c>
      <c r="F52" s="193">
        <v>0.15600000000000003</v>
      </c>
      <c r="G52" s="193">
        <v>0.15400000000000003</v>
      </c>
      <c r="H52" s="193">
        <v>0</v>
      </c>
      <c r="I52" s="193">
        <v>0</v>
      </c>
      <c r="J52" s="193">
        <v>0.15600000000000003</v>
      </c>
      <c r="K52" s="193">
        <v>0.39200000000000002</v>
      </c>
      <c r="L52" s="193">
        <v>0.38879999999999998</v>
      </c>
      <c r="M52" s="193">
        <v>2.1174400000000002</v>
      </c>
      <c r="N52" s="193">
        <v>3.5</v>
      </c>
    </row>
    <row r="53" spans="2:19" x14ac:dyDescent="0.35">
      <c r="B53" t="s">
        <v>77</v>
      </c>
      <c r="C53" s="193">
        <v>0.1239608409121</v>
      </c>
      <c r="D53" s="193">
        <v>0.16004392093398501</v>
      </c>
      <c r="E53" s="193">
        <v>2.4260849377609799</v>
      </c>
      <c r="F53" s="193">
        <v>2.8872111249763401</v>
      </c>
      <c r="G53" s="193">
        <v>0.77906084091210004</v>
      </c>
      <c r="H53" s="193">
        <v>0.338043920933985</v>
      </c>
      <c r="I53" s="193">
        <v>5.11678493776098</v>
      </c>
      <c r="J53" s="193">
        <v>4.40021112497634</v>
      </c>
      <c r="K53" s="193">
        <v>0.77906084091209904</v>
      </c>
      <c r="L53" s="193">
        <v>0.338043920933985</v>
      </c>
      <c r="M53" s="193">
        <v>5.11678493776098</v>
      </c>
      <c r="N53" s="193">
        <v>4.40021112497634</v>
      </c>
    </row>
    <row r="54" spans="2:19" x14ac:dyDescent="0.35">
      <c r="C54" s="198"/>
      <c r="D54" s="198"/>
      <c r="E54" s="198"/>
      <c r="F54" s="198"/>
      <c r="G54" s="198"/>
      <c r="H54" s="198"/>
      <c r="I54" s="198"/>
      <c r="J54" s="198"/>
      <c r="K54" s="198"/>
      <c r="L54" s="198"/>
      <c r="M54" s="198"/>
      <c r="N54" s="198"/>
    </row>
    <row r="55" spans="2:19" x14ac:dyDescent="0.35">
      <c r="B55" t="s">
        <v>72</v>
      </c>
      <c r="C55" s="98">
        <f>C48/(SUM(C$48:C$51))</f>
        <v>0.91727500000000006</v>
      </c>
      <c r="D55" s="98">
        <f t="shared" ref="D55:N55" si="6">D48/(SUM(D$48:D$51))</f>
        <v>0.93888596999999996</v>
      </c>
      <c r="E55" s="98">
        <f t="shared" si="6"/>
        <v>0.91095139000000003</v>
      </c>
      <c r="F55" s="98">
        <f t="shared" si="6"/>
        <v>0.7792746599999999</v>
      </c>
      <c r="G55" s="98">
        <f t="shared" si="6"/>
        <v>0.76761415000000011</v>
      </c>
      <c r="H55" s="98">
        <f t="shared" si="6"/>
        <v>0.89669820999999994</v>
      </c>
      <c r="I55" s="98">
        <f t="shared" si="6"/>
        <v>0.78985334000000007</v>
      </c>
      <c r="J55" s="98">
        <f t="shared" si="6"/>
        <v>0.55998744000000011</v>
      </c>
      <c r="K55" s="98">
        <f t="shared" si="6"/>
        <v>0</v>
      </c>
      <c r="L55" s="98">
        <f t="shared" si="6"/>
        <v>0</v>
      </c>
      <c r="M55" s="98">
        <f t="shared" si="6"/>
        <v>0</v>
      </c>
      <c r="N55" s="98">
        <f t="shared" si="6"/>
        <v>0</v>
      </c>
    </row>
    <row r="56" spans="2:19" x14ac:dyDescent="0.35">
      <c r="B56" t="s">
        <v>73</v>
      </c>
      <c r="C56" s="98">
        <f t="shared" ref="C56:N58" si="7">C49/(SUM(C$48:C$51))</f>
        <v>5.302500000000003E-2</v>
      </c>
      <c r="D56" s="98">
        <f t="shared" si="7"/>
        <v>3.1414029999999982E-2</v>
      </c>
      <c r="E56" s="98">
        <f t="shared" si="7"/>
        <v>5.9348610000000045E-2</v>
      </c>
      <c r="F56" s="98">
        <f t="shared" si="7"/>
        <v>0.19102534000000004</v>
      </c>
      <c r="G56" s="98">
        <f t="shared" si="7"/>
        <v>0.20208584999999993</v>
      </c>
      <c r="H56" s="98">
        <f t="shared" si="7"/>
        <v>7.3001790000000039E-2</v>
      </c>
      <c r="I56" s="98">
        <f t="shared" si="7"/>
        <v>0.17984666000000002</v>
      </c>
      <c r="J56" s="98">
        <f t="shared" si="7"/>
        <v>0.40971256</v>
      </c>
      <c r="K56" s="98">
        <f t="shared" si="7"/>
        <v>0</v>
      </c>
      <c r="L56" s="98">
        <f t="shared" si="7"/>
        <v>0</v>
      </c>
      <c r="M56" s="98">
        <f t="shared" si="7"/>
        <v>0</v>
      </c>
      <c r="N56" s="98">
        <f t="shared" si="7"/>
        <v>0</v>
      </c>
    </row>
    <row r="57" spans="2:19" x14ac:dyDescent="0.35">
      <c r="B57" t="s">
        <v>74</v>
      </c>
      <c r="C57" s="98">
        <f t="shared" si="7"/>
        <v>2.9699999999999963E-2</v>
      </c>
      <c r="D57" s="98">
        <f t="shared" si="7"/>
        <v>2.9700000000000008E-2</v>
      </c>
      <c r="E57" s="98">
        <f t="shared" si="7"/>
        <v>2.9700000000000008E-2</v>
      </c>
      <c r="F57" s="98">
        <f t="shared" si="7"/>
        <v>2.9699999999999997E-2</v>
      </c>
      <c r="G57" s="98">
        <f t="shared" si="7"/>
        <v>3.0299999999999969E-2</v>
      </c>
      <c r="H57" s="98">
        <f t="shared" si="7"/>
        <v>3.0300000000000004E-2</v>
      </c>
      <c r="I57" s="98">
        <f t="shared" si="7"/>
        <v>3.0299999999999987E-2</v>
      </c>
      <c r="J57" s="98">
        <f t="shared" si="7"/>
        <v>3.0299999999999994E-2</v>
      </c>
      <c r="K57" s="98">
        <f t="shared" si="7"/>
        <v>1</v>
      </c>
      <c r="L57" s="98">
        <f t="shared" si="7"/>
        <v>1</v>
      </c>
      <c r="M57" s="98">
        <f t="shared" si="7"/>
        <v>1</v>
      </c>
      <c r="N57" s="98">
        <f t="shared" si="7"/>
        <v>1</v>
      </c>
    </row>
    <row r="58" spans="2:19" x14ac:dyDescent="0.35">
      <c r="B58" t="s">
        <v>75</v>
      </c>
      <c r="C58" s="98">
        <f t="shared" si="7"/>
        <v>0</v>
      </c>
      <c r="D58" s="98">
        <f t="shared" si="7"/>
        <v>0</v>
      </c>
      <c r="E58" s="98">
        <f t="shared" si="7"/>
        <v>0</v>
      </c>
      <c r="F58" s="98">
        <f t="shared" si="7"/>
        <v>0</v>
      </c>
      <c r="G58" s="98">
        <f t="shared" si="7"/>
        <v>0</v>
      </c>
      <c r="H58" s="98">
        <f t="shared" si="7"/>
        <v>0</v>
      </c>
      <c r="I58" s="98">
        <f t="shared" si="7"/>
        <v>0</v>
      </c>
      <c r="J58" s="98">
        <f t="shared" si="7"/>
        <v>0</v>
      </c>
      <c r="K58" s="98">
        <f t="shared" si="7"/>
        <v>0</v>
      </c>
      <c r="L58" s="98">
        <f t="shared" si="7"/>
        <v>0</v>
      </c>
      <c r="M58" s="98">
        <f t="shared" si="7"/>
        <v>0</v>
      </c>
      <c r="N58" s="98">
        <f t="shared" si="7"/>
        <v>0</v>
      </c>
    </row>
    <row r="59" spans="2:19" x14ac:dyDescent="0.35">
      <c r="C59" s="198"/>
      <c r="D59" s="198"/>
      <c r="E59" s="198"/>
      <c r="F59" s="198"/>
      <c r="G59" s="198"/>
      <c r="H59" s="198"/>
      <c r="I59" s="198"/>
      <c r="J59" s="198"/>
      <c r="K59" s="198"/>
      <c r="L59" s="198"/>
      <c r="M59" s="198"/>
      <c r="N59" s="198"/>
    </row>
    <row r="60" spans="2:19" x14ac:dyDescent="0.35">
      <c r="B60" s="201" t="s">
        <v>100</v>
      </c>
      <c r="C60" s="198"/>
      <c r="D60" s="198"/>
      <c r="E60" s="198"/>
      <c r="F60" s="198"/>
      <c r="G60" s="198"/>
      <c r="H60" s="198"/>
      <c r="I60" s="198"/>
      <c r="J60" s="198"/>
      <c r="K60" s="198"/>
      <c r="L60" s="198"/>
      <c r="M60" s="198"/>
      <c r="N60" s="198"/>
    </row>
    <row r="61" spans="2:19" x14ac:dyDescent="0.35">
      <c r="C61" s="198"/>
      <c r="D61" s="198"/>
      <c r="E61" s="198"/>
      <c r="F61" s="198"/>
      <c r="G61" s="198"/>
      <c r="H61" s="198"/>
      <c r="I61" s="198"/>
      <c r="J61" s="198"/>
      <c r="K61" s="198"/>
      <c r="L61" s="198"/>
      <c r="M61" s="198"/>
      <c r="N61" s="198"/>
    </row>
    <row r="62" spans="2:19" s="99" customFormat="1" ht="13.5" x14ac:dyDescent="0.35">
      <c r="D62" s="142" t="s">
        <v>79</v>
      </c>
      <c r="E62" s="142"/>
      <c r="F62" s="142"/>
      <c r="G62" s="142"/>
      <c r="H62" s="142"/>
      <c r="I62" s="142"/>
      <c r="J62" s="142"/>
      <c r="K62" s="142"/>
      <c r="L62" s="142"/>
      <c r="M62" s="142"/>
      <c r="N62" s="142"/>
      <c r="O62" s="142"/>
      <c r="P62" s="142"/>
      <c r="Q62" s="142"/>
      <c r="R62" s="142"/>
      <c r="S62" s="142"/>
    </row>
    <row r="64" spans="2:19" x14ac:dyDescent="0.35">
      <c r="B64" s="197"/>
      <c r="C64" s="225">
        <v>2030</v>
      </c>
      <c r="D64" s="225"/>
      <c r="E64" s="225"/>
      <c r="F64" s="225"/>
      <c r="G64" s="225">
        <v>2040</v>
      </c>
      <c r="H64" s="225"/>
      <c r="I64" s="225"/>
      <c r="J64" s="225"/>
      <c r="K64" s="225">
        <v>2050</v>
      </c>
      <c r="L64" s="225"/>
      <c r="M64" s="225"/>
      <c r="N64" s="225"/>
    </row>
    <row r="65" spans="2:14" s="66" customFormat="1" x14ac:dyDescent="0.35">
      <c r="B65" s="197"/>
      <c r="C65" s="197" t="s">
        <v>67</v>
      </c>
      <c r="D65" s="197" t="s">
        <v>68</v>
      </c>
      <c r="E65" s="197" t="s">
        <v>69</v>
      </c>
      <c r="F65" s="197" t="s">
        <v>70</v>
      </c>
      <c r="G65" s="197" t="s">
        <v>67</v>
      </c>
      <c r="H65" s="197" t="s">
        <v>68</v>
      </c>
      <c r="I65" s="197" t="s">
        <v>69</v>
      </c>
      <c r="J65" s="197" t="s">
        <v>70</v>
      </c>
      <c r="K65" s="197" t="s">
        <v>67</v>
      </c>
      <c r="L65" s="197" t="s">
        <v>68</v>
      </c>
      <c r="M65" s="197" t="s">
        <v>69</v>
      </c>
      <c r="N65" s="197" t="s">
        <v>70</v>
      </c>
    </row>
    <row r="66" spans="2:14" x14ac:dyDescent="0.35">
      <c r="B66" t="s">
        <v>72</v>
      </c>
      <c r="C66" s="193">
        <v>0</v>
      </c>
      <c r="D66" s="193">
        <v>5.1129698859391102</v>
      </c>
      <c r="E66" s="193">
        <v>8.3855483357400207</v>
      </c>
      <c r="F66" s="193">
        <v>6.6761757959697103</v>
      </c>
      <c r="G66" s="193">
        <v>0</v>
      </c>
      <c r="H66" s="193">
        <v>0</v>
      </c>
      <c r="I66" s="193">
        <v>0</v>
      </c>
      <c r="J66" s="193">
        <v>0</v>
      </c>
      <c r="K66" s="193">
        <v>0</v>
      </c>
      <c r="L66" s="193">
        <v>0</v>
      </c>
      <c r="M66" s="193">
        <v>0</v>
      </c>
      <c r="N66" s="193">
        <v>0</v>
      </c>
    </row>
    <row r="67" spans="2:14" x14ac:dyDescent="0.35">
      <c r="B67" t="s">
        <v>73</v>
      </c>
      <c r="C67" s="193">
        <v>2.246</v>
      </c>
      <c r="D67" s="193">
        <v>2.7</v>
      </c>
      <c r="E67" s="193">
        <v>8</v>
      </c>
      <c r="F67" s="193">
        <v>10.843999999999999</v>
      </c>
      <c r="G67" s="193">
        <v>2.246</v>
      </c>
      <c r="H67" s="193">
        <v>2.7</v>
      </c>
      <c r="I67" s="193">
        <v>8</v>
      </c>
      <c r="J67" s="193">
        <v>10.843999999999999</v>
      </c>
      <c r="K67" s="193">
        <v>2.246</v>
      </c>
      <c r="L67" s="193">
        <v>2.7</v>
      </c>
      <c r="M67" s="193">
        <v>6.32</v>
      </c>
      <c r="N67" s="195">
        <v>10.843999999999999</v>
      </c>
    </row>
    <row r="68" spans="2:14" x14ac:dyDescent="0.35">
      <c r="B68" t="s">
        <v>74</v>
      </c>
      <c r="C68" s="193">
        <v>7.1853457172342594E-2</v>
      </c>
      <c r="D68" s="193">
        <v>0.13167278378776701</v>
      </c>
      <c r="E68" s="193">
        <v>0.52420226873883102</v>
      </c>
      <c r="F68" s="194">
        <v>0.34691847265221898</v>
      </c>
      <c r="G68" s="193">
        <v>7.1853457172342594E-2</v>
      </c>
      <c r="H68" s="193">
        <v>8.6377708978328194E-2</v>
      </c>
      <c r="I68" s="193">
        <v>0.36205403639852302</v>
      </c>
      <c r="J68" s="194">
        <v>0.34691847265221898</v>
      </c>
      <c r="K68" s="193">
        <v>0</v>
      </c>
      <c r="L68" s="193">
        <v>0</v>
      </c>
      <c r="M68" s="193">
        <v>0</v>
      </c>
      <c r="N68" s="194">
        <v>0</v>
      </c>
    </row>
    <row r="69" spans="2:14" x14ac:dyDescent="0.35">
      <c r="B69" t="s">
        <v>75</v>
      </c>
      <c r="C69" s="193">
        <v>0</v>
      </c>
      <c r="D69" s="193">
        <v>0</v>
      </c>
      <c r="E69" s="193">
        <v>0</v>
      </c>
      <c r="F69" s="193">
        <v>0</v>
      </c>
      <c r="G69" s="193">
        <v>0</v>
      </c>
      <c r="H69" s="193">
        <v>0</v>
      </c>
      <c r="I69" s="193">
        <v>3.33026900853719</v>
      </c>
      <c r="J69" s="193">
        <v>0</v>
      </c>
      <c r="K69" s="193">
        <v>0</v>
      </c>
      <c r="L69" s="193">
        <v>0</v>
      </c>
      <c r="M69" s="193">
        <v>0</v>
      </c>
      <c r="N69" s="193">
        <v>0</v>
      </c>
    </row>
    <row r="70" spans="2:14" x14ac:dyDescent="0.35">
      <c r="B70" t="s">
        <v>76</v>
      </c>
      <c r="C70" s="193">
        <v>0.154</v>
      </c>
      <c r="D70" s="193">
        <v>0</v>
      </c>
      <c r="E70" s="193">
        <v>0</v>
      </c>
      <c r="F70" s="193">
        <v>0.15600000000000003</v>
      </c>
      <c r="G70" s="193">
        <v>0.154</v>
      </c>
      <c r="H70" s="193">
        <v>0</v>
      </c>
      <c r="I70" s="193">
        <v>0</v>
      </c>
      <c r="J70" s="193">
        <v>0.15600000000000003</v>
      </c>
      <c r="K70" s="193">
        <v>0.15400000000000003</v>
      </c>
      <c r="L70" s="193">
        <v>0</v>
      </c>
      <c r="M70" s="193">
        <v>0</v>
      </c>
      <c r="N70" s="193">
        <v>0.15600000000000003</v>
      </c>
    </row>
    <row r="71" spans="2:14" x14ac:dyDescent="0.35">
      <c r="B71" t="s">
        <v>77</v>
      </c>
      <c r="C71" s="193">
        <v>7.1034864445190402E-2</v>
      </c>
      <c r="D71" s="193">
        <v>8.8015033860745107E-2</v>
      </c>
      <c r="E71" s="193">
        <v>2.4680864082415899</v>
      </c>
      <c r="F71" s="194">
        <v>2.3991765398845502</v>
      </c>
      <c r="G71" s="193">
        <v>0.14992286444519001</v>
      </c>
      <c r="H71" s="193">
        <v>0.185795033860745</v>
      </c>
      <c r="I71" s="193">
        <v>5.21030640824159</v>
      </c>
      <c r="J71" s="194">
        <v>5.0646765398845499</v>
      </c>
      <c r="K71" s="193">
        <v>0.22881186444519</v>
      </c>
      <c r="L71" s="193">
        <v>0.28357503386074501</v>
      </c>
      <c r="M71" s="193">
        <v>7.9525264082415896</v>
      </c>
      <c r="N71" s="194">
        <v>5.0646765398845499</v>
      </c>
    </row>
    <row r="72" spans="2:14" x14ac:dyDescent="0.35">
      <c r="C72" s="198"/>
      <c r="D72" s="198"/>
      <c r="E72" s="198"/>
      <c r="F72" s="198"/>
      <c r="G72" s="198"/>
      <c r="H72" s="198"/>
      <c r="I72" s="198"/>
      <c r="J72" s="198"/>
      <c r="K72" s="198"/>
      <c r="L72" s="198"/>
      <c r="M72" s="198"/>
      <c r="N72" s="198"/>
    </row>
    <row r="73" spans="2:14" x14ac:dyDescent="0.35">
      <c r="B73" t="s">
        <v>72</v>
      </c>
      <c r="C73" s="98">
        <f>C66/(SUM(C$66:C$69))</f>
        <v>0</v>
      </c>
      <c r="D73" s="98">
        <f t="shared" ref="D73:N73" si="8">D66/(SUM(D$66:D$69))</f>
        <v>0.64357455690513576</v>
      </c>
      <c r="E73" s="98">
        <f t="shared" si="8"/>
        <v>0.49590017806170111</v>
      </c>
      <c r="F73" s="98">
        <f t="shared" si="8"/>
        <v>0.37365761301737604</v>
      </c>
      <c r="G73" s="98">
        <f t="shared" si="8"/>
        <v>0</v>
      </c>
      <c r="H73" s="98">
        <f t="shared" si="8"/>
        <v>0</v>
      </c>
      <c r="I73" s="98">
        <f t="shared" si="8"/>
        <v>0</v>
      </c>
      <c r="J73" s="98">
        <f t="shared" si="8"/>
        <v>0</v>
      </c>
      <c r="K73" s="98">
        <f t="shared" si="8"/>
        <v>0</v>
      </c>
      <c r="L73" s="98">
        <f t="shared" si="8"/>
        <v>0</v>
      </c>
      <c r="M73" s="98">
        <f t="shared" si="8"/>
        <v>0</v>
      </c>
      <c r="N73" s="98">
        <f t="shared" si="8"/>
        <v>0</v>
      </c>
    </row>
    <row r="74" spans="2:14" x14ac:dyDescent="0.35">
      <c r="B74" t="s">
        <v>73</v>
      </c>
      <c r="C74" s="98">
        <f t="shared" ref="C74:N75" si="9">C67/(SUM(C$66:C$69))</f>
        <v>0.96899999999999997</v>
      </c>
      <c r="D74" s="98">
        <f t="shared" si="9"/>
        <v>0.33985166007382195</v>
      </c>
      <c r="E74" s="98">
        <f t="shared" si="9"/>
        <v>0.47309982193829969</v>
      </c>
      <c r="F74" s="98">
        <f t="shared" si="9"/>
        <v>0.60692577298616257</v>
      </c>
      <c r="G74" s="98">
        <f t="shared" si="9"/>
        <v>0.96899999999999997</v>
      </c>
      <c r="H74" s="98">
        <f t="shared" si="9"/>
        <v>0.96899999999999997</v>
      </c>
      <c r="I74" s="98">
        <f t="shared" si="9"/>
        <v>0.68420962791179751</v>
      </c>
      <c r="J74" s="98">
        <f t="shared" si="9"/>
        <v>0.96900000000000008</v>
      </c>
      <c r="K74" s="98">
        <f t="shared" si="9"/>
        <v>1</v>
      </c>
      <c r="L74" s="98">
        <f t="shared" si="9"/>
        <v>1</v>
      </c>
      <c r="M74" s="98">
        <f t="shared" si="9"/>
        <v>1</v>
      </c>
      <c r="N74" s="98">
        <f t="shared" si="9"/>
        <v>1</v>
      </c>
    </row>
    <row r="75" spans="2:14" x14ac:dyDescent="0.35">
      <c r="B75" t="s">
        <v>74</v>
      </c>
      <c r="C75" s="98">
        <f t="shared" si="9"/>
        <v>3.0999999999999989E-2</v>
      </c>
      <c r="D75" s="98">
        <f t="shared" si="9"/>
        <v>1.6573783021042239E-2</v>
      </c>
      <c r="E75" s="98">
        <f t="shared" si="9"/>
        <v>3.0999999999999209E-2</v>
      </c>
      <c r="F75" s="98">
        <f t="shared" si="9"/>
        <v>1.9416613996461354E-2</v>
      </c>
      <c r="G75" s="98">
        <f t="shared" si="9"/>
        <v>3.0999999999999989E-2</v>
      </c>
      <c r="H75" s="98">
        <f t="shared" si="9"/>
        <v>3.1000000000000007E-2</v>
      </c>
      <c r="I75" s="98">
        <f t="shared" si="9"/>
        <v>3.0965107191024729E-2</v>
      </c>
      <c r="J75" s="98">
        <f t="shared" si="9"/>
        <v>3.1000000000000021E-2</v>
      </c>
      <c r="K75" s="98">
        <f t="shared" si="9"/>
        <v>0</v>
      </c>
      <c r="L75" s="98">
        <f t="shared" si="9"/>
        <v>0</v>
      </c>
      <c r="M75" s="98">
        <f t="shared" si="9"/>
        <v>0</v>
      </c>
      <c r="N75" s="98">
        <f t="shared" si="9"/>
        <v>0</v>
      </c>
    </row>
    <row r="76" spans="2:14" x14ac:dyDescent="0.35">
      <c r="B76" t="s">
        <v>75</v>
      </c>
      <c r="C76" s="98">
        <f>C69/(SUM(C$66:C$69))</f>
        <v>0</v>
      </c>
      <c r="D76" s="98">
        <f t="shared" ref="D76:N76" si="10">D69/(SUM(D$66:D$69))</f>
        <v>0</v>
      </c>
      <c r="E76" s="98">
        <f t="shared" si="10"/>
        <v>0</v>
      </c>
      <c r="F76" s="98">
        <f t="shared" si="10"/>
        <v>0</v>
      </c>
      <c r="G76" s="98">
        <f t="shared" si="10"/>
        <v>0</v>
      </c>
      <c r="H76" s="98">
        <f t="shared" si="10"/>
        <v>0</v>
      </c>
      <c r="I76" s="98">
        <f t="shared" si="10"/>
        <v>0.28482526489717769</v>
      </c>
      <c r="J76" s="98">
        <f t="shared" si="10"/>
        <v>0</v>
      </c>
      <c r="K76" s="98">
        <f t="shared" si="10"/>
        <v>0</v>
      </c>
      <c r="L76" s="98">
        <f t="shared" si="10"/>
        <v>0</v>
      </c>
      <c r="M76" s="98">
        <f t="shared" si="10"/>
        <v>0</v>
      </c>
      <c r="N76" s="98">
        <f t="shared" si="10"/>
        <v>0</v>
      </c>
    </row>
    <row r="77" spans="2:14" x14ac:dyDescent="0.35">
      <c r="C77" s="198"/>
      <c r="D77" s="198"/>
      <c r="E77" s="198"/>
      <c r="F77" s="198"/>
      <c r="G77" s="198"/>
      <c r="H77" s="198"/>
      <c r="I77" s="198"/>
      <c r="J77" s="198"/>
      <c r="K77" s="198"/>
      <c r="L77" s="198"/>
      <c r="M77" s="198"/>
      <c r="N77" s="198"/>
    </row>
    <row r="78" spans="2:14" x14ac:dyDescent="0.35">
      <c r="B78" s="201" t="s">
        <v>100</v>
      </c>
      <c r="C78" s="198"/>
      <c r="D78" s="198"/>
      <c r="E78" s="198"/>
      <c r="F78" s="198"/>
      <c r="G78" s="198"/>
      <c r="H78" s="198"/>
      <c r="I78" s="198"/>
      <c r="J78" s="198"/>
      <c r="K78" s="198"/>
      <c r="L78" s="198"/>
      <c r="M78" s="198"/>
      <c r="N78" s="198"/>
    </row>
    <row r="79" spans="2:14" x14ac:dyDescent="0.35">
      <c r="C79" s="198"/>
      <c r="D79" s="198"/>
      <c r="E79" s="198"/>
      <c r="F79" s="198"/>
      <c r="G79" s="198"/>
      <c r="H79" s="198"/>
      <c r="I79" s="198"/>
      <c r="J79" s="198"/>
      <c r="K79" s="198"/>
      <c r="L79" s="198"/>
      <c r="M79" s="198"/>
      <c r="N79" s="198"/>
    </row>
  </sheetData>
  <mergeCells count="12">
    <mergeCell ref="C28:F28"/>
    <mergeCell ref="G28:J28"/>
    <mergeCell ref="K28:N28"/>
    <mergeCell ref="C10:F10"/>
    <mergeCell ref="G10:J10"/>
    <mergeCell ref="K10:N10"/>
    <mergeCell ref="C64:F64"/>
    <mergeCell ref="G64:J64"/>
    <mergeCell ref="K64:N64"/>
    <mergeCell ref="C46:F46"/>
    <mergeCell ref="G46:J46"/>
    <mergeCell ref="K46:N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8801B-5C5A-4077-8A81-50E625D044B2}">
  <sheetPr>
    <tabColor theme="6"/>
  </sheetPr>
  <dimension ref="B2:S56"/>
  <sheetViews>
    <sheetView showGridLines="0" zoomScaleNormal="100" workbookViewId="0"/>
  </sheetViews>
  <sheetFormatPr defaultColWidth="12.625" defaultRowHeight="12" x14ac:dyDescent="0.35"/>
  <cols>
    <col min="1" max="1" width="9" style="60" customWidth="1"/>
    <col min="2" max="2" width="31" style="60" customWidth="1"/>
    <col min="3" max="4" width="12.625" style="60"/>
    <col min="5" max="5" width="16.375" style="60" bestFit="1" customWidth="1"/>
    <col min="6" max="6" width="17.25" style="60" bestFit="1" customWidth="1"/>
    <col min="7" max="10" width="17.25" style="60" customWidth="1"/>
    <col min="11" max="12" width="12.625" style="60"/>
    <col min="13" max="13" width="16.375" style="60" bestFit="1" customWidth="1"/>
    <col min="14" max="14" width="17.25" style="60" bestFit="1" customWidth="1"/>
    <col min="15" max="15" width="12.625" style="60"/>
    <col min="16" max="16" width="16.375" style="60" customWidth="1"/>
    <col min="17" max="17" width="12.625" style="60"/>
    <col min="18" max="18" width="16.375" style="60" bestFit="1" customWidth="1"/>
    <col min="19" max="19" width="17.25" style="60" bestFit="1" customWidth="1"/>
    <col min="20" max="20" width="12.625" style="60"/>
    <col min="21" max="21" width="30.875" style="60" bestFit="1" customWidth="1"/>
    <col min="22" max="34" width="12.625" style="60"/>
    <col min="35" max="35" width="30.875" style="60" bestFit="1" customWidth="1"/>
    <col min="36" max="36" width="12.625" style="60"/>
    <col min="37" max="38" width="16.375" style="60" bestFit="1" customWidth="1"/>
    <col min="39" max="39" width="17.25" style="60" bestFit="1" customWidth="1"/>
    <col min="40" max="43" width="17.25" style="60" customWidth="1"/>
    <col min="44" max="46" width="16.375" style="60" bestFit="1" customWidth="1"/>
    <col min="47" max="47" width="17.25" style="60" bestFit="1" customWidth="1"/>
    <col min="48" max="16384" width="12.625" style="60"/>
  </cols>
  <sheetData>
    <row r="2" spans="2:19" customFormat="1" ht="16" thickBot="1" x14ac:dyDescent="0.4">
      <c r="B2" s="2" t="s">
        <v>320</v>
      </c>
      <c r="C2" s="2"/>
      <c r="D2" s="2"/>
      <c r="E2" s="2"/>
      <c r="F2" s="2"/>
      <c r="G2" s="2"/>
      <c r="H2" s="2"/>
      <c r="I2" s="2"/>
      <c r="J2" s="2"/>
      <c r="K2" s="2"/>
      <c r="L2" s="2"/>
      <c r="M2" s="2"/>
      <c r="N2" s="2"/>
      <c r="O2" s="2"/>
      <c r="P2" s="2"/>
      <c r="Q2" s="2"/>
      <c r="R2" s="2"/>
      <c r="S2" s="2"/>
    </row>
    <row r="3" spans="2:19" ht="12.5" thickTop="1" x14ac:dyDescent="0.35"/>
    <row r="4" spans="2:19" customFormat="1" ht="15" thickBot="1" x14ac:dyDescent="0.4">
      <c r="C4" s="1" t="s">
        <v>319</v>
      </c>
      <c r="D4" s="1"/>
      <c r="E4" s="1"/>
      <c r="F4" s="1"/>
      <c r="G4" s="1"/>
      <c r="H4" s="1"/>
      <c r="I4" s="1"/>
      <c r="J4" s="1"/>
      <c r="K4" s="1"/>
      <c r="L4" s="1"/>
      <c r="M4" s="1"/>
      <c r="N4" s="1"/>
      <c r="O4" s="1"/>
      <c r="P4" s="1"/>
      <c r="Q4" s="1"/>
      <c r="R4" s="1"/>
      <c r="S4" s="1"/>
    </row>
    <row r="5" spans="2:19" ht="12" customHeight="1" x14ac:dyDescent="0.35">
      <c r="B5" s="61"/>
      <c r="C5" s="61"/>
      <c r="D5" s="61"/>
      <c r="E5" s="61"/>
      <c r="F5" s="61"/>
      <c r="G5" s="61"/>
      <c r="H5" s="61"/>
      <c r="I5" s="61"/>
      <c r="J5" s="61"/>
      <c r="K5" s="61"/>
      <c r="L5" s="61"/>
      <c r="M5" s="61"/>
      <c r="N5" s="61"/>
    </row>
    <row r="6" spans="2:19" ht="12" customHeight="1" x14ac:dyDescent="0.45">
      <c r="B6" s="72" t="s">
        <v>101</v>
      </c>
      <c r="C6" s="71"/>
      <c r="D6" s="71"/>
      <c r="E6" s="71"/>
      <c r="F6" s="71"/>
      <c r="G6" s="71"/>
      <c r="H6" s="71"/>
      <c r="I6" s="71"/>
      <c r="J6" s="71"/>
      <c r="K6" s="71"/>
      <c r="L6" s="71"/>
      <c r="M6" s="71"/>
      <c r="N6" s="71"/>
    </row>
    <row r="7" spans="2:19" ht="12" customHeight="1" x14ac:dyDescent="0.45">
      <c r="B7" s="72"/>
      <c r="C7" s="71"/>
      <c r="D7" s="71"/>
      <c r="E7" s="71"/>
      <c r="F7" s="71"/>
      <c r="G7" s="71"/>
      <c r="H7" s="71"/>
      <c r="I7" s="71"/>
      <c r="J7" s="71"/>
      <c r="K7" s="71"/>
      <c r="L7" s="71"/>
      <c r="M7" s="71"/>
      <c r="N7" s="71"/>
    </row>
    <row r="8" spans="2:19" s="99" customFormat="1" ht="13.5" x14ac:dyDescent="0.35">
      <c r="D8" s="142" t="s">
        <v>66</v>
      </c>
      <c r="E8" s="142"/>
      <c r="F8" s="142"/>
      <c r="G8" s="142"/>
      <c r="H8" s="142"/>
      <c r="I8" s="142"/>
      <c r="J8" s="142"/>
      <c r="K8" s="142"/>
      <c r="L8" s="142"/>
      <c r="M8" s="142"/>
      <c r="N8" s="142"/>
      <c r="O8" s="142"/>
      <c r="P8" s="142"/>
      <c r="Q8" s="142"/>
      <c r="R8" s="142"/>
      <c r="S8" s="142"/>
    </row>
    <row r="9" spans="2:19" ht="12" customHeight="1" x14ac:dyDescent="0.35">
      <c r="B9" s="61"/>
      <c r="C9" s="61"/>
      <c r="D9" s="61"/>
      <c r="E9" s="61"/>
      <c r="F9" s="61"/>
      <c r="G9" s="61"/>
      <c r="H9" s="61"/>
      <c r="I9" s="61"/>
      <c r="J9" s="61"/>
      <c r="K9" s="61"/>
      <c r="L9" s="61"/>
      <c r="M9" s="61"/>
      <c r="N9" s="61"/>
    </row>
    <row r="10" spans="2:19" s="62" customFormat="1" x14ac:dyDescent="0.35">
      <c r="B10" s="197"/>
      <c r="C10" s="225">
        <v>2030</v>
      </c>
      <c r="D10" s="225"/>
      <c r="E10" s="225"/>
      <c r="F10" s="225"/>
      <c r="G10" s="225">
        <v>2040</v>
      </c>
      <c r="H10" s="225"/>
      <c r="I10" s="225"/>
      <c r="J10" s="225"/>
      <c r="K10" s="225">
        <v>2050</v>
      </c>
      <c r="L10" s="225"/>
      <c r="M10" s="225"/>
      <c r="N10" s="225"/>
    </row>
    <row r="11" spans="2:19" s="62" customFormat="1" x14ac:dyDescent="0.35">
      <c r="B11" s="197"/>
      <c r="C11" s="197" t="s">
        <v>67</v>
      </c>
      <c r="D11" s="197" t="s">
        <v>68</v>
      </c>
      <c r="E11" s="197" t="s">
        <v>69</v>
      </c>
      <c r="F11" s="197" t="s">
        <v>70</v>
      </c>
      <c r="G11" s="197" t="s">
        <v>67</v>
      </c>
      <c r="H11" s="197" t="s">
        <v>68</v>
      </c>
      <c r="I11" s="197" t="s">
        <v>69</v>
      </c>
      <c r="J11" s="197" t="s">
        <v>70</v>
      </c>
      <c r="K11" s="197" t="s">
        <v>67</v>
      </c>
      <c r="L11" s="197" t="s">
        <v>68</v>
      </c>
      <c r="M11" s="197" t="s">
        <v>69</v>
      </c>
      <c r="N11" s="197" t="s">
        <v>70</v>
      </c>
    </row>
    <row r="12" spans="2:19" x14ac:dyDescent="0.35">
      <c r="B12" s="60" t="s">
        <v>80</v>
      </c>
      <c r="C12" s="203">
        <v>98.978022225955527</v>
      </c>
      <c r="D12" s="203">
        <v>68.886266882491157</v>
      </c>
      <c r="E12" s="203">
        <v>64.193138784142022</v>
      </c>
      <c r="F12" s="203">
        <v>77.161689214211265</v>
      </c>
      <c r="G12" s="203">
        <v>72.843179263440405</v>
      </c>
      <c r="H12" s="203">
        <v>49.268956121774067</v>
      </c>
      <c r="I12" s="203">
        <v>55.989975457805464</v>
      </c>
      <c r="J12" s="203">
        <v>57.94629903965329</v>
      </c>
      <c r="K12" s="203">
        <v>65.357674230342454</v>
      </c>
      <c r="L12" s="203">
        <v>44.807186161184447</v>
      </c>
      <c r="M12" s="203">
        <v>54.405628645482579</v>
      </c>
      <c r="N12" s="203">
        <v>53.449689571357588</v>
      </c>
    </row>
    <row r="13" spans="2:19" x14ac:dyDescent="0.35">
      <c r="B13" s="60" t="s">
        <v>81</v>
      </c>
      <c r="C13" s="203">
        <v>293.29017006775575</v>
      </c>
      <c r="D13" s="203">
        <v>301.32013290554937</v>
      </c>
      <c r="E13" s="203">
        <v>227.05235241512244</v>
      </c>
      <c r="F13" s="203">
        <v>252.97467108636928</v>
      </c>
      <c r="G13" s="203">
        <v>117.97533625548</v>
      </c>
      <c r="H13" s="203">
        <v>121.71625215722985</v>
      </c>
      <c r="I13" s="203">
        <v>126.91243559628791</v>
      </c>
      <c r="J13" s="203">
        <v>134.06713025769039</v>
      </c>
      <c r="K13" s="203">
        <v>97.561049441119465</v>
      </c>
      <c r="L13" s="203">
        <v>102.29263927091824</v>
      </c>
      <c r="M13" s="203">
        <v>100.7223817850881</v>
      </c>
      <c r="N13" s="203">
        <v>105.65859858729185</v>
      </c>
    </row>
    <row r="14" spans="2:19" x14ac:dyDescent="0.35">
      <c r="B14" s="60" t="s">
        <v>82</v>
      </c>
      <c r="C14" s="203">
        <v>0</v>
      </c>
      <c r="D14" s="203">
        <v>0</v>
      </c>
      <c r="E14" s="203">
        <v>0</v>
      </c>
      <c r="F14" s="203">
        <v>0</v>
      </c>
      <c r="G14" s="203">
        <v>0</v>
      </c>
      <c r="H14" s="203">
        <v>0</v>
      </c>
      <c r="I14" s="203">
        <v>0</v>
      </c>
      <c r="J14" s="203">
        <v>0</v>
      </c>
      <c r="K14" s="203">
        <v>0</v>
      </c>
      <c r="L14" s="203">
        <v>0</v>
      </c>
      <c r="M14" s="203">
        <v>0</v>
      </c>
      <c r="N14" s="203">
        <v>0</v>
      </c>
    </row>
    <row r="15" spans="2:19" x14ac:dyDescent="0.35">
      <c r="B15" s="60" t="s">
        <v>83</v>
      </c>
      <c r="C15" s="204">
        <v>112.8</v>
      </c>
      <c r="D15" s="204">
        <v>112.8</v>
      </c>
      <c r="E15" s="204">
        <v>112.8</v>
      </c>
      <c r="F15" s="204">
        <v>112.8</v>
      </c>
      <c r="G15" s="204">
        <v>124.6</v>
      </c>
      <c r="H15" s="204">
        <v>124.6</v>
      </c>
      <c r="I15" s="204">
        <v>124.6</v>
      </c>
      <c r="J15" s="204">
        <v>124.6</v>
      </c>
      <c r="K15" s="204">
        <v>137.6</v>
      </c>
      <c r="L15" s="204">
        <v>137.6</v>
      </c>
      <c r="M15" s="204">
        <v>137.6</v>
      </c>
      <c r="N15" s="204">
        <v>137.6</v>
      </c>
    </row>
    <row r="16" spans="2:19" x14ac:dyDescent="0.35">
      <c r="B16" s="60" t="s">
        <v>84</v>
      </c>
      <c r="C16" s="204">
        <v>91.36</v>
      </c>
      <c r="D16" s="204">
        <v>91.36</v>
      </c>
      <c r="E16" s="204">
        <v>91.36</v>
      </c>
      <c r="F16" s="204">
        <v>91.36</v>
      </c>
      <c r="G16" s="204">
        <v>94.15</v>
      </c>
      <c r="H16" s="204">
        <v>94.15</v>
      </c>
      <c r="I16" s="204">
        <v>94.15</v>
      </c>
      <c r="J16" s="204">
        <v>94.15</v>
      </c>
      <c r="K16" s="204">
        <v>96.27</v>
      </c>
      <c r="L16" s="204">
        <v>96.27</v>
      </c>
      <c r="M16" s="204">
        <v>96.27</v>
      </c>
      <c r="N16" s="204">
        <v>96.27</v>
      </c>
    </row>
    <row r="17" spans="2:19" x14ac:dyDescent="0.35">
      <c r="C17" s="202"/>
      <c r="D17" s="202"/>
      <c r="E17" s="202"/>
      <c r="F17" s="202"/>
      <c r="G17" s="202"/>
      <c r="H17" s="202"/>
      <c r="I17" s="202"/>
      <c r="J17" s="202"/>
      <c r="K17" s="202"/>
      <c r="L17" s="202"/>
      <c r="M17" s="202"/>
      <c r="N17" s="202"/>
    </row>
    <row r="18" spans="2:19" s="99" customFormat="1" ht="13.5" x14ac:dyDescent="0.35">
      <c r="D18" s="142" t="s">
        <v>71</v>
      </c>
      <c r="E18" s="142"/>
      <c r="F18" s="142"/>
      <c r="G18" s="142"/>
      <c r="H18" s="142"/>
      <c r="I18" s="142"/>
      <c r="J18" s="142"/>
      <c r="K18" s="142"/>
      <c r="L18" s="142"/>
      <c r="M18" s="142"/>
      <c r="N18" s="142"/>
      <c r="O18" s="142"/>
      <c r="P18" s="142"/>
      <c r="Q18" s="142"/>
      <c r="R18" s="142"/>
      <c r="S18" s="142"/>
    </row>
    <row r="19" spans="2:19" x14ac:dyDescent="0.35">
      <c r="C19" s="202"/>
      <c r="D19" s="202"/>
      <c r="E19" s="202"/>
      <c r="F19" s="202"/>
      <c r="G19" s="202"/>
      <c r="H19" s="202"/>
      <c r="I19" s="202"/>
      <c r="J19" s="202"/>
      <c r="K19" s="202"/>
      <c r="L19" s="202"/>
      <c r="M19" s="202"/>
      <c r="N19" s="202"/>
    </row>
    <row r="20" spans="2:19" s="62" customFormat="1" x14ac:dyDescent="0.35">
      <c r="B20" s="197"/>
      <c r="C20" s="225">
        <v>2030</v>
      </c>
      <c r="D20" s="225"/>
      <c r="E20" s="225"/>
      <c r="F20" s="225"/>
      <c r="G20" s="225">
        <v>2040</v>
      </c>
      <c r="H20" s="225"/>
      <c r="I20" s="225"/>
      <c r="J20" s="225"/>
      <c r="K20" s="225">
        <v>2050</v>
      </c>
      <c r="L20" s="225"/>
      <c r="M20" s="225"/>
      <c r="N20" s="225"/>
      <c r="R20" s="60"/>
      <c r="S20" s="60"/>
    </row>
    <row r="21" spans="2:19" s="62" customFormat="1" x14ac:dyDescent="0.35">
      <c r="B21" s="197"/>
      <c r="C21" s="197" t="s">
        <v>67</v>
      </c>
      <c r="D21" s="197" t="s">
        <v>68</v>
      </c>
      <c r="E21" s="197" t="s">
        <v>69</v>
      </c>
      <c r="F21" s="197" t="s">
        <v>70</v>
      </c>
      <c r="G21" s="197" t="s">
        <v>67</v>
      </c>
      <c r="H21" s="197" t="s">
        <v>68</v>
      </c>
      <c r="I21" s="197" t="s">
        <v>69</v>
      </c>
      <c r="J21" s="197" t="s">
        <v>70</v>
      </c>
      <c r="K21" s="197" t="s">
        <v>67</v>
      </c>
      <c r="L21" s="197" t="s">
        <v>68</v>
      </c>
      <c r="M21" s="197" t="s">
        <v>69</v>
      </c>
      <c r="N21" s="197" t="s">
        <v>70</v>
      </c>
      <c r="R21" s="60"/>
      <c r="S21" s="60"/>
    </row>
    <row r="22" spans="2:19" x14ac:dyDescent="0.35">
      <c r="B22" s="60" t="s">
        <v>80</v>
      </c>
      <c r="C22" s="203">
        <v>90.776206909820502</v>
      </c>
      <c r="D22" s="203">
        <v>52.045665241408614</v>
      </c>
      <c r="E22" s="203">
        <v>66.575794914606718</v>
      </c>
      <c r="F22" s="203">
        <v>75.278275286462133</v>
      </c>
      <c r="G22" s="203">
        <v>66.018460753803652</v>
      </c>
      <c r="H22" s="203">
        <v>43.267335096256474</v>
      </c>
      <c r="I22" s="203">
        <v>56.984247083267292</v>
      </c>
      <c r="J22" s="203">
        <v>57.48408372381548</v>
      </c>
      <c r="K22" s="203">
        <v>60.038961827969445</v>
      </c>
      <c r="L22" s="203">
        <v>41.332867095435681</v>
      </c>
      <c r="M22" s="203">
        <v>54.471517806006808</v>
      </c>
      <c r="N22" s="203">
        <v>53.749541843990706</v>
      </c>
    </row>
    <row r="23" spans="2:19" x14ac:dyDescent="0.35">
      <c r="B23" s="60" t="s">
        <v>81</v>
      </c>
      <c r="C23" s="203">
        <v>290.14188592368231</v>
      </c>
      <c r="D23" s="203">
        <v>296.53026874309739</v>
      </c>
      <c r="E23" s="203">
        <v>237.62562618339319</v>
      </c>
      <c r="F23" s="203">
        <v>232.32939396832373</v>
      </c>
      <c r="G23" s="203">
        <v>111.98917133664587</v>
      </c>
      <c r="H23" s="203">
        <v>119.81041201767269</v>
      </c>
      <c r="I23" s="203">
        <v>127.21572445979248</v>
      </c>
      <c r="J23" s="203">
        <v>130.62864939660085</v>
      </c>
      <c r="K23" s="203">
        <v>95.154690539536659</v>
      </c>
      <c r="L23" s="203">
        <v>102.13240047819647</v>
      </c>
      <c r="M23" s="203">
        <v>100.97121484178167</v>
      </c>
      <c r="N23" s="203">
        <v>105.6234403240628</v>
      </c>
    </row>
    <row r="24" spans="2:19" x14ac:dyDescent="0.35">
      <c r="B24" s="60" t="s">
        <v>82</v>
      </c>
      <c r="C24" s="203">
        <v>700.49567278261964</v>
      </c>
      <c r="D24" s="203">
        <v>710.75927522452207</v>
      </c>
      <c r="E24" s="203">
        <v>692.07423584970149</v>
      </c>
      <c r="F24" s="203">
        <v>0</v>
      </c>
      <c r="G24" s="203">
        <v>180.54832255987478</v>
      </c>
      <c r="H24" s="203">
        <v>163.93741064204303</v>
      </c>
      <c r="I24" s="203">
        <v>177.01646452602301</v>
      </c>
      <c r="J24" s="203">
        <v>0</v>
      </c>
      <c r="K24" s="203">
        <v>155.76549729118838</v>
      </c>
      <c r="L24" s="203">
        <v>127.54333770474705</v>
      </c>
      <c r="M24" s="203">
        <v>137.68419752387763</v>
      </c>
      <c r="N24" s="203">
        <v>0</v>
      </c>
    </row>
    <row r="25" spans="2:19" x14ac:dyDescent="0.35">
      <c r="B25" s="60" t="s">
        <v>83</v>
      </c>
      <c r="C25" s="204">
        <v>112.8</v>
      </c>
      <c r="D25" s="204">
        <v>112.8</v>
      </c>
      <c r="E25" s="204">
        <v>112.8</v>
      </c>
      <c r="F25" s="204">
        <v>112.8</v>
      </c>
      <c r="G25" s="204">
        <v>124.6</v>
      </c>
      <c r="H25" s="204">
        <v>124.6</v>
      </c>
      <c r="I25" s="204">
        <v>124.6</v>
      </c>
      <c r="J25" s="204">
        <v>124.6</v>
      </c>
      <c r="K25" s="204">
        <v>137.6</v>
      </c>
      <c r="L25" s="204">
        <v>137.6</v>
      </c>
      <c r="M25" s="204">
        <v>137.6</v>
      </c>
      <c r="N25" s="204">
        <v>137.6</v>
      </c>
    </row>
    <row r="26" spans="2:19" x14ac:dyDescent="0.35">
      <c r="B26" s="60" t="s">
        <v>84</v>
      </c>
      <c r="C26" s="204">
        <v>91.36</v>
      </c>
      <c r="D26" s="204">
        <v>91.36</v>
      </c>
      <c r="E26" s="204">
        <v>91.36</v>
      </c>
      <c r="F26" s="204">
        <v>91.36</v>
      </c>
      <c r="G26" s="204">
        <v>94.15</v>
      </c>
      <c r="H26" s="204">
        <v>94.15</v>
      </c>
      <c r="I26" s="204">
        <v>94.15</v>
      </c>
      <c r="J26" s="204">
        <v>94.15</v>
      </c>
      <c r="K26" s="204">
        <v>96.27</v>
      </c>
      <c r="L26" s="204">
        <v>96.27</v>
      </c>
      <c r="M26" s="204">
        <v>96.27</v>
      </c>
      <c r="N26" s="204">
        <v>96.27</v>
      </c>
    </row>
    <row r="27" spans="2:19" x14ac:dyDescent="0.35">
      <c r="C27" s="202"/>
      <c r="D27" s="202"/>
      <c r="E27" s="202"/>
      <c r="F27" s="202"/>
      <c r="G27" s="202"/>
      <c r="H27" s="202"/>
      <c r="I27" s="202"/>
      <c r="J27" s="202"/>
      <c r="K27" s="202"/>
      <c r="L27" s="202"/>
      <c r="M27" s="202"/>
      <c r="N27" s="202"/>
    </row>
    <row r="28" spans="2:19" s="99" customFormat="1" ht="13.5" x14ac:dyDescent="0.35">
      <c r="D28" s="142" t="s">
        <v>78</v>
      </c>
      <c r="E28" s="142"/>
      <c r="F28" s="142"/>
      <c r="G28" s="142"/>
      <c r="H28" s="142"/>
      <c r="I28" s="142"/>
      <c r="J28" s="142"/>
      <c r="K28" s="142"/>
      <c r="L28" s="142"/>
      <c r="M28" s="142"/>
      <c r="N28" s="142"/>
      <c r="O28" s="142"/>
      <c r="P28" s="142"/>
      <c r="Q28" s="142"/>
      <c r="R28" s="142"/>
      <c r="S28" s="142"/>
    </row>
    <row r="29" spans="2:19" x14ac:dyDescent="0.35">
      <c r="C29" s="202"/>
      <c r="D29" s="202"/>
      <c r="E29" s="202"/>
      <c r="F29" s="202"/>
      <c r="G29" s="202"/>
      <c r="H29" s="202"/>
      <c r="I29" s="202"/>
      <c r="J29" s="202"/>
      <c r="K29" s="202"/>
      <c r="L29" s="202"/>
      <c r="M29" s="202"/>
      <c r="N29" s="202"/>
    </row>
    <row r="30" spans="2:19" s="62" customFormat="1" x14ac:dyDescent="0.35">
      <c r="B30" s="197"/>
      <c r="C30" s="225">
        <v>2030</v>
      </c>
      <c r="D30" s="225"/>
      <c r="E30" s="225"/>
      <c r="F30" s="225"/>
      <c r="G30" s="225">
        <v>2040</v>
      </c>
      <c r="H30" s="225"/>
      <c r="I30" s="225"/>
      <c r="J30" s="225"/>
      <c r="K30" s="225">
        <v>2050</v>
      </c>
      <c r="L30" s="225"/>
      <c r="M30" s="225"/>
      <c r="N30" s="225"/>
      <c r="R30" s="60"/>
      <c r="S30" s="60"/>
    </row>
    <row r="31" spans="2:19" s="62" customFormat="1" x14ac:dyDescent="0.35">
      <c r="B31" s="197"/>
      <c r="C31" s="197" t="s">
        <v>67</v>
      </c>
      <c r="D31" s="197" t="s">
        <v>68</v>
      </c>
      <c r="E31" s="197" t="s">
        <v>69</v>
      </c>
      <c r="F31" s="197" t="s">
        <v>70</v>
      </c>
      <c r="G31" s="197" t="s">
        <v>67</v>
      </c>
      <c r="H31" s="197" t="s">
        <v>68</v>
      </c>
      <c r="I31" s="197" t="s">
        <v>69</v>
      </c>
      <c r="J31" s="197" t="s">
        <v>70</v>
      </c>
      <c r="K31" s="197" t="s">
        <v>67</v>
      </c>
      <c r="L31" s="197" t="s">
        <v>68</v>
      </c>
      <c r="M31" s="197" t="s">
        <v>69</v>
      </c>
      <c r="N31" s="197" t="s">
        <v>70</v>
      </c>
      <c r="R31" s="60"/>
      <c r="S31" s="60"/>
    </row>
    <row r="32" spans="2:19" x14ac:dyDescent="0.35">
      <c r="B32" s="60" t="s">
        <v>80</v>
      </c>
      <c r="C32" s="203">
        <v>98.978022225955499</v>
      </c>
      <c r="D32" s="203">
        <v>68.886266882491142</v>
      </c>
      <c r="E32" s="203">
        <v>83.68303819036602</v>
      </c>
      <c r="F32" s="203">
        <v>77.638786048135827</v>
      </c>
      <c r="G32" s="203">
        <v>71.724439488933726</v>
      </c>
      <c r="H32" s="203">
        <v>49.104377713338828</v>
      </c>
      <c r="I32" s="203">
        <v>63.629634544784288</v>
      </c>
      <c r="J32" s="203">
        <v>58.611911461040549</v>
      </c>
      <c r="K32" s="203">
        <v>67.955861498847739</v>
      </c>
      <c r="L32" s="203">
        <v>45.817881059941229</v>
      </c>
      <c r="M32" s="203">
        <v>59.383312297432227</v>
      </c>
      <c r="N32" s="203">
        <v>55.902336160767355</v>
      </c>
    </row>
    <row r="33" spans="2:19" x14ac:dyDescent="0.35">
      <c r="B33" s="60" t="s">
        <v>81</v>
      </c>
      <c r="C33" s="203">
        <v>301.94851976348451</v>
      </c>
      <c r="D33" s="203">
        <v>270.37634629079321</v>
      </c>
      <c r="E33" s="203">
        <v>237.58983193467765</v>
      </c>
      <c r="F33" s="203">
        <v>252.74304503665164</v>
      </c>
      <c r="G33" s="203">
        <v>144.64575396271474</v>
      </c>
      <c r="H33" s="203">
        <v>128.67463651440218</v>
      </c>
      <c r="I33" s="203">
        <v>127.30782674429963</v>
      </c>
      <c r="J33" s="203">
        <v>139.06655321328924</v>
      </c>
      <c r="K33" s="203">
        <v>95.087809122303952</v>
      </c>
      <c r="L33" s="203">
        <v>85.767924002334297</v>
      </c>
      <c r="M33" s="203">
        <v>95.335835854701443</v>
      </c>
      <c r="N33" s="203">
        <v>107.01878838169283</v>
      </c>
    </row>
    <row r="34" spans="2:19" x14ac:dyDescent="0.35">
      <c r="B34" s="60" t="s">
        <v>82</v>
      </c>
      <c r="C34" s="203">
        <v>0</v>
      </c>
      <c r="D34" s="203">
        <v>0</v>
      </c>
      <c r="E34" s="203">
        <v>0</v>
      </c>
      <c r="F34" s="203">
        <v>0</v>
      </c>
      <c r="G34" s="203">
        <v>0</v>
      </c>
      <c r="H34" s="203">
        <v>0</v>
      </c>
      <c r="I34" s="203">
        <v>0</v>
      </c>
      <c r="J34" s="203">
        <v>0</v>
      </c>
      <c r="K34" s="203">
        <v>0</v>
      </c>
      <c r="L34" s="203">
        <v>0</v>
      </c>
      <c r="M34" s="203">
        <v>0</v>
      </c>
      <c r="N34" s="203">
        <v>0</v>
      </c>
    </row>
    <row r="35" spans="2:19" x14ac:dyDescent="0.35">
      <c r="B35" s="60" t="s">
        <v>83</v>
      </c>
      <c r="C35" s="204">
        <v>112.8</v>
      </c>
      <c r="D35" s="204">
        <v>112.8</v>
      </c>
      <c r="E35" s="204">
        <v>112.8</v>
      </c>
      <c r="F35" s="204">
        <v>112.8</v>
      </c>
      <c r="G35" s="204">
        <v>124.6</v>
      </c>
      <c r="H35" s="204">
        <v>124.6</v>
      </c>
      <c r="I35" s="204">
        <v>124.6</v>
      </c>
      <c r="J35" s="204">
        <v>124.6</v>
      </c>
      <c r="K35" s="204">
        <v>137.6</v>
      </c>
      <c r="L35" s="204">
        <v>137.6</v>
      </c>
      <c r="M35" s="204">
        <v>137.6</v>
      </c>
      <c r="N35" s="204">
        <v>137.6</v>
      </c>
    </row>
    <row r="36" spans="2:19" x14ac:dyDescent="0.35">
      <c r="B36" s="60" t="s">
        <v>84</v>
      </c>
      <c r="C36" s="204">
        <v>91.36</v>
      </c>
      <c r="D36" s="204">
        <v>91.36</v>
      </c>
      <c r="E36" s="204">
        <v>91.36</v>
      </c>
      <c r="F36" s="204">
        <v>91.36</v>
      </c>
      <c r="G36" s="204">
        <v>94.15</v>
      </c>
      <c r="H36" s="204">
        <v>94.15</v>
      </c>
      <c r="I36" s="204">
        <v>94.15</v>
      </c>
      <c r="J36" s="204">
        <v>94.15</v>
      </c>
      <c r="K36" s="204">
        <v>96.27</v>
      </c>
      <c r="L36" s="204">
        <v>96.27</v>
      </c>
      <c r="M36" s="204">
        <v>96.27</v>
      </c>
      <c r="N36" s="204">
        <v>96.27</v>
      </c>
    </row>
    <row r="37" spans="2:19" x14ac:dyDescent="0.35">
      <c r="C37" s="202"/>
      <c r="D37" s="202"/>
      <c r="E37" s="202"/>
      <c r="F37" s="202"/>
      <c r="G37" s="202"/>
      <c r="H37" s="202"/>
      <c r="I37" s="202"/>
      <c r="J37" s="202"/>
      <c r="K37" s="202"/>
      <c r="L37" s="202"/>
      <c r="M37" s="202"/>
    </row>
    <row r="38" spans="2:19" s="99" customFormat="1" ht="13.5" x14ac:dyDescent="0.35">
      <c r="D38" s="142" t="s">
        <v>79</v>
      </c>
      <c r="E38" s="142"/>
      <c r="F38" s="142"/>
      <c r="G38" s="142"/>
      <c r="H38" s="142"/>
      <c r="I38" s="142"/>
      <c r="J38" s="142"/>
      <c r="K38" s="142"/>
      <c r="L38" s="142"/>
      <c r="M38" s="142"/>
      <c r="N38" s="142"/>
      <c r="O38" s="142"/>
      <c r="P38" s="142"/>
      <c r="Q38" s="142"/>
      <c r="R38" s="142"/>
      <c r="S38" s="142"/>
    </row>
    <row r="39" spans="2:19" x14ac:dyDescent="0.35">
      <c r="C39" s="202"/>
      <c r="D39" s="202"/>
      <c r="E39" s="202"/>
      <c r="F39" s="202"/>
      <c r="G39" s="202"/>
      <c r="H39" s="202"/>
      <c r="I39" s="202"/>
      <c r="J39" s="202"/>
      <c r="K39" s="202"/>
      <c r="L39" s="202"/>
      <c r="M39" s="202"/>
    </row>
    <row r="40" spans="2:19" s="62" customFormat="1" x14ac:dyDescent="0.35">
      <c r="B40" s="197"/>
      <c r="C40" s="225">
        <v>2030</v>
      </c>
      <c r="D40" s="225"/>
      <c r="E40" s="225"/>
      <c r="F40" s="225"/>
      <c r="G40" s="225">
        <v>2040</v>
      </c>
      <c r="H40" s="225"/>
      <c r="I40" s="225"/>
      <c r="J40" s="225"/>
      <c r="K40" s="225">
        <v>2050</v>
      </c>
      <c r="L40" s="225"/>
      <c r="M40" s="225"/>
      <c r="N40" s="225"/>
      <c r="R40" s="60"/>
      <c r="S40" s="60"/>
    </row>
    <row r="41" spans="2:19" s="62" customFormat="1" x14ac:dyDescent="0.35">
      <c r="B41" s="197"/>
      <c r="C41" s="197" t="s">
        <v>67</v>
      </c>
      <c r="D41" s="197" t="s">
        <v>68</v>
      </c>
      <c r="E41" s="197" t="s">
        <v>69</v>
      </c>
      <c r="F41" s="197" t="s">
        <v>70</v>
      </c>
      <c r="G41" s="197" t="s">
        <v>67</v>
      </c>
      <c r="H41" s="197" t="s">
        <v>68</v>
      </c>
      <c r="I41" s="197" t="s">
        <v>69</v>
      </c>
      <c r="J41" s="197" t="s">
        <v>70</v>
      </c>
      <c r="K41" s="197" t="s">
        <v>67</v>
      </c>
      <c r="L41" s="197" t="s">
        <v>68</v>
      </c>
      <c r="M41" s="197" t="s">
        <v>69</v>
      </c>
      <c r="N41" s="197" t="s">
        <v>70</v>
      </c>
      <c r="R41" s="60"/>
      <c r="S41" s="60"/>
    </row>
    <row r="42" spans="2:19" x14ac:dyDescent="0.35">
      <c r="B42" s="60" t="s">
        <v>80</v>
      </c>
      <c r="C42" s="203">
        <v>70.459958125785718</v>
      </c>
      <c r="D42" s="203">
        <v>55.089657457082801</v>
      </c>
      <c r="E42" s="203">
        <v>69.542275671314997</v>
      </c>
      <c r="F42" s="203">
        <v>63.850699191877005</v>
      </c>
      <c r="G42" s="203">
        <v>60.351626852517775</v>
      </c>
      <c r="H42" s="203">
        <v>45.989468651351189</v>
      </c>
      <c r="I42" s="203">
        <v>60.398427127673628</v>
      </c>
      <c r="J42" s="203">
        <v>54.563523294583121</v>
      </c>
      <c r="K42" s="203">
        <v>57.43845349682433</v>
      </c>
      <c r="L42" s="203">
        <v>43.366837195776952</v>
      </c>
      <c r="M42" s="203">
        <v>57.85062508664911</v>
      </c>
      <c r="N42" s="203">
        <v>51.88700304190958</v>
      </c>
    </row>
    <row r="43" spans="2:19" x14ac:dyDescent="0.35">
      <c r="B43" s="60" t="s">
        <v>81</v>
      </c>
      <c r="C43" s="203">
        <v>230.38295452179966</v>
      </c>
      <c r="D43" s="203">
        <v>205.8501319024075</v>
      </c>
      <c r="E43" s="203">
        <v>221.74005876534017</v>
      </c>
      <c r="F43" s="203">
        <v>238.08057554626706</v>
      </c>
      <c r="G43" s="203">
        <v>149.25426315894049</v>
      </c>
      <c r="H43" s="203">
        <v>154.64958536553934</v>
      </c>
      <c r="I43" s="203">
        <v>133.71451686758203</v>
      </c>
      <c r="J43" s="203">
        <v>140.65037728802034</v>
      </c>
      <c r="K43" s="203">
        <v>125.21575516131259</v>
      </c>
      <c r="L43" s="203">
        <v>138.79224052892604</v>
      </c>
      <c r="M43" s="203">
        <v>108.25802682832843</v>
      </c>
      <c r="N43" s="203">
        <v>112.79878626006084</v>
      </c>
    </row>
    <row r="44" spans="2:19" x14ac:dyDescent="0.35">
      <c r="B44" s="60" t="s">
        <v>82</v>
      </c>
      <c r="C44" s="203">
        <v>0</v>
      </c>
      <c r="D44" s="203">
        <v>0</v>
      </c>
      <c r="E44" s="203">
        <v>692.07423584969854</v>
      </c>
      <c r="F44" s="203">
        <v>0</v>
      </c>
      <c r="G44" s="203">
        <v>0</v>
      </c>
      <c r="H44" s="203">
        <v>0</v>
      </c>
      <c r="I44" s="203">
        <v>161.93537757780078</v>
      </c>
      <c r="J44" s="203">
        <v>0</v>
      </c>
      <c r="K44" s="203">
        <v>0</v>
      </c>
      <c r="L44" s="203">
        <v>0</v>
      </c>
      <c r="M44" s="203">
        <v>152.96793186676686</v>
      </c>
      <c r="N44" s="203">
        <v>0</v>
      </c>
    </row>
    <row r="45" spans="2:19" x14ac:dyDescent="0.35">
      <c r="B45" s="60" t="s">
        <v>83</v>
      </c>
      <c r="C45" s="204">
        <v>112.8</v>
      </c>
      <c r="D45" s="204">
        <v>112.8</v>
      </c>
      <c r="E45" s="204">
        <v>112.8</v>
      </c>
      <c r="F45" s="204">
        <v>112.8</v>
      </c>
      <c r="G45" s="204">
        <v>124.6</v>
      </c>
      <c r="H45" s="204">
        <v>124.6</v>
      </c>
      <c r="I45" s="204">
        <v>124.6</v>
      </c>
      <c r="J45" s="204">
        <v>124.6</v>
      </c>
      <c r="K45" s="204">
        <v>137.6</v>
      </c>
      <c r="L45" s="204">
        <v>137.6</v>
      </c>
      <c r="M45" s="204">
        <v>137.6</v>
      </c>
      <c r="N45" s="204">
        <v>137.6</v>
      </c>
    </row>
    <row r="46" spans="2:19" x14ac:dyDescent="0.35">
      <c r="B46" s="60" t="s">
        <v>84</v>
      </c>
      <c r="C46" s="204">
        <v>91.36</v>
      </c>
      <c r="D46" s="204">
        <v>91.36</v>
      </c>
      <c r="E46" s="204">
        <v>91.36</v>
      </c>
      <c r="F46" s="204">
        <v>91.36</v>
      </c>
      <c r="G46" s="204">
        <v>94.15</v>
      </c>
      <c r="H46" s="204">
        <v>94.15</v>
      </c>
      <c r="I46" s="204">
        <v>94.15</v>
      </c>
      <c r="J46" s="204">
        <v>94.15</v>
      </c>
      <c r="K46" s="204">
        <v>96.27</v>
      </c>
      <c r="L46" s="204">
        <v>96.27</v>
      </c>
      <c r="M46" s="204">
        <v>96.27</v>
      </c>
      <c r="N46" s="204">
        <v>96.27</v>
      </c>
    </row>
    <row r="47" spans="2:19" x14ac:dyDescent="0.35">
      <c r="B47" s="62"/>
      <c r="C47" s="62"/>
      <c r="D47" s="62"/>
      <c r="E47" s="62"/>
      <c r="F47" s="62"/>
      <c r="G47" s="62"/>
      <c r="H47" s="62"/>
      <c r="I47" s="62"/>
      <c r="J47" s="62"/>
      <c r="K47" s="62"/>
      <c r="L47" s="62"/>
      <c r="M47" s="62"/>
      <c r="N47" s="62"/>
    </row>
    <row r="49" spans="2:19" customFormat="1" ht="15" thickBot="1" x14ac:dyDescent="0.4">
      <c r="C49" s="1" t="s">
        <v>300</v>
      </c>
      <c r="D49" s="1"/>
      <c r="E49" s="1"/>
      <c r="F49" s="1"/>
      <c r="G49" s="1"/>
      <c r="H49" s="1"/>
      <c r="I49" s="1"/>
      <c r="J49" s="1"/>
      <c r="K49" s="1"/>
      <c r="L49" s="1"/>
      <c r="M49" s="1"/>
      <c r="N49" s="1"/>
      <c r="O49" s="1"/>
      <c r="P49" s="1"/>
      <c r="Q49" s="1"/>
      <c r="R49" s="1"/>
      <c r="S49" s="1"/>
    </row>
    <row r="51" spans="2:19" x14ac:dyDescent="0.35">
      <c r="B51" s="143"/>
      <c r="C51" s="224">
        <v>2030</v>
      </c>
      <c r="D51" s="224"/>
      <c r="E51" s="224"/>
      <c r="F51" s="224"/>
      <c r="G51" s="224">
        <v>2040</v>
      </c>
      <c r="H51" s="224"/>
      <c r="I51" s="224"/>
      <c r="J51" s="224"/>
      <c r="K51" s="224">
        <v>2050</v>
      </c>
      <c r="L51" s="224"/>
      <c r="M51" s="224"/>
      <c r="N51" s="224"/>
    </row>
    <row r="52" spans="2:19" x14ac:dyDescent="0.35">
      <c r="B52" s="143"/>
      <c r="C52" s="143" t="s">
        <v>67</v>
      </c>
      <c r="D52" s="143" t="s">
        <v>68</v>
      </c>
      <c r="E52" s="143" t="s">
        <v>69</v>
      </c>
      <c r="F52" s="143" t="s">
        <v>70</v>
      </c>
      <c r="G52" s="143" t="s">
        <v>67</v>
      </c>
      <c r="H52" s="143" t="s">
        <v>68</v>
      </c>
      <c r="I52" s="143" t="s">
        <v>69</v>
      </c>
      <c r="J52" s="143" t="s">
        <v>70</v>
      </c>
      <c r="K52" s="143" t="s">
        <v>67</v>
      </c>
      <c r="L52" s="143" t="s">
        <v>68</v>
      </c>
      <c r="M52" s="143" t="s">
        <v>69</v>
      </c>
      <c r="N52" s="143" t="s">
        <v>70</v>
      </c>
    </row>
    <row r="53" spans="2:19" x14ac:dyDescent="0.35">
      <c r="B53" s="144" t="s">
        <v>66</v>
      </c>
      <c r="C53" s="212">
        <f>(('Gas supply'!C19*LCOE!C15)+('Gas supply'!C20*LCOE!C12)+('Gas supply'!C21*LCOE!C13)+('Gas supply'!C22*LCOE!C14))</f>
        <v>114.94809777935153</v>
      </c>
      <c r="D53" s="212">
        <f>(('Gas supply'!D19*LCOE!D15)+('Gas supply'!D20*LCOE!D12)+('Gas supply'!D21*LCOE!D13)+('Gas supply'!D22*LCOE!D14))</f>
        <v>114.44634934198162</v>
      </c>
      <c r="E53" s="212">
        <f>(('Gas supply'!E19*LCOE!E15)+('Gas supply'!E20*LCOE!E12)+('Gas supply'!E21*LCOE!E13)+('Gas supply'!E22*LCOE!E14))</f>
        <v>112.09109387179174</v>
      </c>
      <c r="F53" s="212">
        <f>(('Gas supply'!F19*LCOE!F15)+('Gas supply'!F20*LCOE!F12)+('Gas supply'!F21*LCOE!F13)+('Gas supply'!F22*LCOE!F14))</f>
        <v>109.66236325105382</v>
      </c>
      <c r="G53" s="212">
        <f>(('Gas supply'!G19*LCOE!G15)+('Gas supply'!G20*LCOE!G12)+('Gas supply'!G21*LCOE!G13)+('Gas supply'!G22*LCOE!G14))</f>
        <v>119.01082550515839</v>
      </c>
      <c r="H53" s="212">
        <f>(('Gas supply'!H19*LCOE!H15)+('Gas supply'!H20*LCOE!H12)+('Gas supply'!H21*LCOE!H13)+('Gas supply'!H22*LCOE!H14))</f>
        <v>120.75209350433163</v>
      </c>
      <c r="I53" s="212">
        <f>(('Gas supply'!I19*LCOE!I15)+('Gas supply'!I20*LCOE!I12)+('Gas supply'!I21*LCOE!I13)+('Gas supply'!I22*LCOE!I14))</f>
        <v>116.45575511439276</v>
      </c>
      <c r="J53" s="212">
        <f>(('Gas supply'!J19*LCOE!J15)+('Gas supply'!J20*LCOE!J12)+('Gas supply'!J21*LCOE!J13)+('Gas supply'!J22*LCOE!J14))</f>
        <v>104.2011926410089</v>
      </c>
      <c r="K53" s="212">
        <f>(('Gas supply'!K19*LCOE!K15)+('Gas supply'!K20*LCOE!K12)+('Gas supply'!K21*LCOE!K13)+('Gas supply'!K22*LCOE!K14))</f>
        <v>124.80829681146481</v>
      </c>
      <c r="L53" s="212">
        <f>(('Gas supply'!L19*LCOE!L15)+('Gas supply'!L20*LCOE!L12)+('Gas supply'!L21*LCOE!L13)+('Gas supply'!L22*LCOE!L14))</f>
        <v>127.78674002921123</v>
      </c>
      <c r="M53" s="212">
        <f>(('Gas supply'!M19*LCOE!M15)+('Gas supply'!M20*LCOE!M12)+('Gas supply'!M21*LCOE!M13)+('Gas supply'!M22*LCOE!M14))</f>
        <v>120.1520147553635</v>
      </c>
      <c r="N53" s="212">
        <f>(('Gas supply'!N19*LCOE!N15)+('Gas supply'!N20*LCOE!N12)+('Gas supply'!N21*LCOE!N13)+('Gas supply'!N22*LCOE!N14))</f>
        <v>98.189837170516043</v>
      </c>
    </row>
    <row r="54" spans="2:19" x14ac:dyDescent="0.35">
      <c r="B54" s="144" t="s">
        <v>71</v>
      </c>
      <c r="C54" s="212">
        <f>(('Gas supply'!C37*LCOE!C25)+('Gas supply'!C38*LCOE!C22)+('Gas supply'!C39*LCOE!C23)+('Gas supply'!C40*LCOE!C24))</f>
        <v>160.37304731015902</v>
      </c>
      <c r="D54" s="212">
        <f>(('Gas supply'!D37*LCOE!D25)+('Gas supply'!D38*LCOE!D22)+('Gas supply'!D39*LCOE!D23)+('Gas supply'!D40*LCOE!D24))</f>
        <v>122.13899930033988</v>
      </c>
      <c r="E54" s="212">
        <f>(('Gas supply'!E37*LCOE!E25)+('Gas supply'!E38*LCOE!E22)+('Gas supply'!E39*LCOE!E23)+('Gas supply'!E40*LCOE!E24))</f>
        <v>129.62061918194877</v>
      </c>
      <c r="F54" s="212">
        <f>(('Gas supply'!F37*LCOE!F25)+('Gas supply'!F38*LCOE!F22)+('Gas supply'!F39*LCOE!F23)+('Gas supply'!F40*LCOE!F24))</f>
        <v>109.44650342576637</v>
      </c>
      <c r="G54" s="212">
        <f>(('Gas supply'!G37*LCOE!G25)+('Gas supply'!G38*LCOE!G22)+('Gas supply'!G39*LCOE!G23)+('Gas supply'!G40*LCOE!G24))</f>
        <v>96.118894957040411</v>
      </c>
      <c r="H54" s="212">
        <f>(('Gas supply'!H37*LCOE!H25)+('Gas supply'!H38*LCOE!H22)+('Gas supply'!H39*LCOE!H23)+('Gas supply'!H40*LCOE!H24))</f>
        <v>95.481312479531951</v>
      </c>
      <c r="I54" s="212">
        <f>(('Gas supply'!I37*LCOE!I25)+('Gas supply'!I38*LCOE!I22)+('Gas supply'!I39*LCOE!I23)+('Gas supply'!I40*LCOE!I24))</f>
        <v>96.183174869253648</v>
      </c>
      <c r="J54" s="212">
        <f>(('Gas supply'!J37*LCOE!J25)+('Gas supply'!J38*LCOE!J22)+('Gas supply'!J39*LCOE!J23)+('Gas supply'!J40*LCOE!J24))</f>
        <v>91.109949610589638</v>
      </c>
      <c r="K54" s="212">
        <f>(('Gas supply'!K37*LCOE!K25)+('Gas supply'!K38*LCOE!K22)+('Gas supply'!K39*LCOE!K23)+('Gas supply'!K40*LCOE!K24))</f>
        <v>66.21551836421493</v>
      </c>
      <c r="L54" s="212">
        <f>(('Gas supply'!L37*LCOE!L25)+('Gas supply'!L38*LCOE!L22)+('Gas supply'!L39*LCOE!L23)+('Gas supply'!L40*LCOE!L24))</f>
        <v>62.171298833321373</v>
      </c>
      <c r="M54" s="212">
        <f>(('Gas supply'!M37*LCOE!M25)+('Gas supply'!M38*LCOE!M22)+('Gas supply'!M39*LCOE!M23)+('Gas supply'!M40*LCOE!M24))</f>
        <v>62.98553711981188</v>
      </c>
      <c r="N54" s="212">
        <f>(('Gas supply'!N37*LCOE!N25)+('Gas supply'!N38*LCOE!N22)+('Gas supply'!N39*LCOE!N23)+('Gas supply'!N40*LCOE!N24))</f>
        <v>55.961053244424235</v>
      </c>
    </row>
    <row r="55" spans="2:19" x14ac:dyDescent="0.35">
      <c r="B55" s="144" t="s">
        <v>78</v>
      </c>
      <c r="C55" s="212">
        <f>(('Gas supply'!C55*LCOE!C35)+('Gas supply'!C56*LCOE!C32)+('Gas supply'!C57*LCOE!C33)+('Gas supply'!C58*LCOE!C34))</f>
        <v>117.68480066550677</v>
      </c>
      <c r="D55" s="212">
        <f>(('Gas supply'!D55*LCOE!D35)+('Gas supply'!D56*LCOE!D32)+('Gas supply'!D57*LCOE!D33)+('Gas supply'!D58*LCOE!D34))</f>
        <v>116.10051015527114</v>
      </c>
      <c r="E55" s="212">
        <f>(('Gas supply'!E55*LCOE!E35)+('Gas supply'!E56*LCOE!E32)+('Gas supply'!E57*LCOE!E33)+('Gas supply'!E58*LCOE!E34))</f>
        <v>114.77820679763508</v>
      </c>
      <c r="F55" s="212">
        <f>(('Gas supply'!F55*LCOE!F35)+('Gas supply'!F56*LCOE!F32)+('Gas supply'!F57*LCOE!F33)+('Gas supply'!F58*LCOE!F34))</f>
        <v>110.23962558762094</v>
      </c>
      <c r="G55" s="212">
        <f>(('Gas supply'!G55*LCOE!G35)+('Gas supply'!G56*LCOE!G32)+('Gas supply'!G57*LCOE!G33)+('Gas supply'!G58*LCOE!G34))</f>
        <v>114.52198375496499</v>
      </c>
      <c r="H55" s="212">
        <f>(('Gas supply'!H55*LCOE!H35)+('Gas supply'!H56*LCOE!H32)+('Gas supply'!H57*LCOE!H33)+('Gas supply'!H58*LCOE!H34))</f>
        <v>119.21214592229622</v>
      </c>
      <c r="I55" s="212">
        <f>(('Gas supply'!I55*LCOE!I35)+('Gas supply'!I56*LCOE!I32)+('Gas supply'!I57*LCOE!I33)+('Gas supply'!I58*LCOE!I34))</f>
        <v>113.71673056425236</v>
      </c>
      <c r="J55" s="212">
        <f>(('Gas supply'!J55*LCOE!J35)+('Gas supply'!J56*LCOE!J32)+('Gas supply'!J57*LCOE!J33)+('Gas supply'!J58*LCOE!J34))</f>
        <v>98.002187877558939</v>
      </c>
      <c r="K55" s="212">
        <f>(('Gas supply'!K55*LCOE!K35)+('Gas supply'!K56*LCOE!K32)+('Gas supply'!K57*LCOE!K33)+('Gas supply'!K58*LCOE!K34))</f>
        <v>95.087809122303952</v>
      </c>
      <c r="L55" s="212">
        <f>(('Gas supply'!L55*LCOE!L35)+('Gas supply'!L56*LCOE!L32)+('Gas supply'!L57*LCOE!L33)+('Gas supply'!L58*LCOE!L34))</f>
        <v>85.767924002334297</v>
      </c>
      <c r="M55" s="212">
        <f>(('Gas supply'!M55*LCOE!M35)+('Gas supply'!M56*LCOE!M32)+('Gas supply'!M57*LCOE!M33)+('Gas supply'!M58*LCOE!M34))</f>
        <v>95.335835854701443</v>
      </c>
      <c r="N55" s="212">
        <f>(('Gas supply'!N55*LCOE!N35)+('Gas supply'!N56*LCOE!N32)+('Gas supply'!N57*LCOE!N33)+('Gas supply'!N58*LCOE!N34))</f>
        <v>107.01878838169283</v>
      </c>
    </row>
    <row r="56" spans="2:19" x14ac:dyDescent="0.35">
      <c r="B56" s="144" t="s">
        <v>79</v>
      </c>
      <c r="C56" s="212">
        <f>(('Gas supply'!C73*LCOE!C45)+('Gas supply'!C74*LCOE!C42)+('Gas supply'!C75*LCOE!C43)+('Gas supply'!C76*LCOE!C44))</f>
        <v>75.417571014062148</v>
      </c>
      <c r="D56" s="212">
        <f>(('Gas supply'!D73*LCOE!D45)+('Gas supply'!D74*LCOE!D42)+('Gas supply'!D75*LCOE!D43)+('Gas supply'!D76*LCOE!D44))</f>
        <v>94.729236979590524</v>
      </c>
      <c r="E56" s="212">
        <f>(('Gas supply'!E73*LCOE!E45)+('Gas supply'!E74*LCOE!E42)+('Gas supply'!E75*LCOE!E43)+('Gas supply'!E76*LCOE!E44))</f>
        <v>95.71192014436852</v>
      </c>
      <c r="F56" s="212">
        <f>(('Gas supply'!F73*LCOE!F45)+('Gas supply'!F74*LCOE!F42)+('Gas supply'!F75*LCOE!F43)+('Gas supply'!F76*LCOE!F44))</f>
        <v>85.523932346534139</v>
      </c>
      <c r="G56" s="212">
        <f>(('Gas supply'!G73*LCOE!G45)+('Gas supply'!G74*LCOE!G42)+('Gas supply'!G75*LCOE!G43)+('Gas supply'!G76*LCOE!G44))</f>
        <v>63.10760857801688</v>
      </c>
      <c r="H56" s="212">
        <f>(('Gas supply'!H73*LCOE!H45)+('Gas supply'!H74*LCOE!H42)+('Gas supply'!H75*LCOE!H43)+('Gas supply'!H76*LCOE!H44))</f>
        <v>49.357932269491023</v>
      </c>
      <c r="I56" s="212">
        <f>(('Gas supply'!I73*LCOE!I45)+('Gas supply'!I74*LCOE!I42)+('Gas supply'!I75*LCOE!I43)+('Gas supply'!I76*LCOE!I44))</f>
        <v>91.588956514105746</v>
      </c>
      <c r="J56" s="212">
        <f>(('Gas supply'!J73*LCOE!J45)+('Gas supply'!J74*LCOE!J42)+('Gas supply'!J75*LCOE!J43)+('Gas supply'!J76*LCOE!J44))</f>
        <v>57.232215768379682</v>
      </c>
      <c r="K56" s="212">
        <f>(('Gas supply'!K73*LCOE!K45)+('Gas supply'!K74*LCOE!K42)+('Gas supply'!K75*LCOE!K43)+('Gas supply'!K76*LCOE!K44))</f>
        <v>57.43845349682433</v>
      </c>
      <c r="L56" s="212">
        <f>(('Gas supply'!L73*LCOE!L45)+('Gas supply'!L74*LCOE!L42)+('Gas supply'!L75*LCOE!L43)+('Gas supply'!L76*LCOE!L44))</f>
        <v>43.366837195776952</v>
      </c>
      <c r="M56" s="212">
        <f>(('Gas supply'!M73*LCOE!M45)+('Gas supply'!M74*LCOE!M42)+('Gas supply'!M75*LCOE!M43)+('Gas supply'!M76*LCOE!M44))</f>
        <v>57.85062508664911</v>
      </c>
      <c r="N56" s="212">
        <f>(('Gas supply'!N73*LCOE!N45)+('Gas supply'!N74*LCOE!N42)+('Gas supply'!N75*LCOE!N43)+('Gas supply'!N76*LCOE!N44))</f>
        <v>51.88700304190958</v>
      </c>
    </row>
  </sheetData>
  <mergeCells count="15">
    <mergeCell ref="C10:F10"/>
    <mergeCell ref="G10:J10"/>
    <mergeCell ref="K10:N10"/>
    <mergeCell ref="C30:F30"/>
    <mergeCell ref="G30:J30"/>
    <mergeCell ref="K30:N30"/>
    <mergeCell ref="C20:F20"/>
    <mergeCell ref="G20:J20"/>
    <mergeCell ref="K20:N20"/>
    <mergeCell ref="C51:F51"/>
    <mergeCell ref="G51:J51"/>
    <mergeCell ref="K51:N51"/>
    <mergeCell ref="C40:F40"/>
    <mergeCell ref="G40:J40"/>
    <mergeCell ref="K40:N4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CDD70-B768-4D3A-BF06-3B33C81CDA24}">
  <sheetPr>
    <tabColor theme="6" tint="0.79998168889431442"/>
  </sheetPr>
  <dimension ref="B1:AC41"/>
  <sheetViews>
    <sheetView showGridLines="0" workbookViewId="0"/>
  </sheetViews>
  <sheetFormatPr defaultRowHeight="12" x14ac:dyDescent="0.35"/>
  <cols>
    <col min="2" max="2" width="25.875" customWidth="1"/>
    <col min="3" max="27" width="17" customWidth="1"/>
    <col min="28" max="28" width="12" customWidth="1"/>
    <col min="30" max="30" width="30.875" bestFit="1" customWidth="1"/>
    <col min="32" max="33" width="16.375" bestFit="1" customWidth="1"/>
    <col min="34" max="34" width="17.25" bestFit="1" customWidth="1"/>
    <col min="35" max="38" width="17.25" customWidth="1"/>
    <col min="39" max="41" width="16.375" bestFit="1" customWidth="1"/>
    <col min="42" max="42" width="17.25" bestFit="1" customWidth="1"/>
  </cols>
  <sheetData>
    <row r="1" spans="2:29" s="60" customFormat="1" x14ac:dyDescent="0.35"/>
    <row r="2" spans="2:29" ht="16" thickBot="1" x14ac:dyDescent="0.4">
      <c r="B2" s="2" t="s">
        <v>146</v>
      </c>
      <c r="C2" s="2"/>
      <c r="D2" s="2"/>
      <c r="E2" s="2"/>
      <c r="F2" s="2"/>
      <c r="G2" s="2"/>
      <c r="H2" s="2"/>
      <c r="I2" s="2"/>
      <c r="J2" s="2"/>
      <c r="K2" s="2"/>
      <c r="L2" s="2"/>
      <c r="M2" s="2"/>
      <c r="N2" s="2"/>
      <c r="O2" s="2"/>
      <c r="P2" s="2"/>
      <c r="Q2" s="2"/>
      <c r="R2" s="2"/>
    </row>
    <row r="3" spans="2:29" s="60" customFormat="1" ht="12.5" thickTop="1" x14ac:dyDescent="0.35"/>
    <row r="4" spans="2:29" s="60" customFormat="1" ht="12" customHeight="1" x14ac:dyDescent="0.35">
      <c r="B4" s="72" t="s">
        <v>101</v>
      </c>
      <c r="C4" s="70"/>
      <c r="D4" s="70"/>
      <c r="E4" s="70"/>
      <c r="F4" s="70"/>
      <c r="G4" s="70"/>
      <c r="H4" s="70"/>
      <c r="I4" s="70"/>
      <c r="J4" s="70"/>
      <c r="K4" s="70"/>
      <c r="L4" s="70"/>
      <c r="M4" s="70"/>
      <c r="N4" s="70"/>
    </row>
    <row r="5" spans="2:29" s="60" customFormat="1" ht="12" customHeight="1" x14ac:dyDescent="0.35">
      <c r="B5" s="70"/>
      <c r="C5" s="70"/>
      <c r="D5" s="70"/>
      <c r="E5" s="70"/>
      <c r="F5" s="70"/>
      <c r="G5" s="70"/>
      <c r="H5" s="70"/>
      <c r="I5" s="70"/>
      <c r="J5" s="70"/>
      <c r="K5" s="70"/>
      <c r="L5" s="70"/>
      <c r="M5" s="70"/>
      <c r="N5" s="70"/>
    </row>
    <row r="6" spans="2:29" s="60" customFormat="1" ht="12.5" thickBot="1" x14ac:dyDescent="0.4">
      <c r="B6" s="236" t="s">
        <v>102</v>
      </c>
      <c r="C6" s="236"/>
      <c r="D6" s="236"/>
      <c r="E6" s="236"/>
      <c r="F6" s="236"/>
      <c r="G6" s="236"/>
      <c r="H6" s="236"/>
      <c r="I6" s="236"/>
      <c r="J6" s="236"/>
      <c r="K6" s="236"/>
      <c r="L6" s="236"/>
      <c r="M6" s="236"/>
      <c r="N6" s="236"/>
      <c r="P6" s="236" t="s">
        <v>103</v>
      </c>
      <c r="Q6" s="236"/>
      <c r="R6" s="236"/>
      <c r="S6" s="236"/>
      <c r="T6" s="236"/>
      <c r="U6" s="236"/>
      <c r="V6" s="236"/>
      <c r="W6" s="236"/>
      <c r="X6" s="236"/>
      <c r="Y6" s="236"/>
      <c r="Z6" s="236"/>
      <c r="AA6" s="236"/>
      <c r="AB6" s="236"/>
    </row>
    <row r="8" spans="2:29" s="60" customFormat="1" x14ac:dyDescent="0.35">
      <c r="B8"/>
      <c r="C8" s="237" t="s">
        <v>66</v>
      </c>
      <c r="D8" s="238"/>
      <c r="E8" s="238"/>
      <c r="F8" s="238"/>
      <c r="G8" s="238"/>
      <c r="H8" s="238"/>
      <c r="I8" s="238"/>
      <c r="J8" s="238"/>
      <c r="K8" s="238"/>
      <c r="L8" s="238"/>
      <c r="M8" s="238"/>
      <c r="N8" s="239"/>
      <c r="P8" s="237" t="s">
        <v>66</v>
      </c>
      <c r="Q8" s="238"/>
      <c r="R8" s="238"/>
      <c r="S8" s="238"/>
      <c r="T8" s="238"/>
      <c r="U8" s="238"/>
      <c r="V8" s="238"/>
      <c r="W8" s="238"/>
      <c r="X8" s="238"/>
      <c r="Y8" s="238"/>
      <c r="Z8" s="238"/>
      <c r="AA8" s="239"/>
    </row>
    <row r="9" spans="2:29" s="60" customFormat="1" x14ac:dyDescent="0.35">
      <c r="B9" s="62"/>
      <c r="C9" s="226">
        <v>2030</v>
      </c>
      <c r="D9" s="226"/>
      <c r="E9" s="226"/>
      <c r="F9" s="226"/>
      <c r="G9" s="226">
        <v>2040</v>
      </c>
      <c r="H9" s="226"/>
      <c r="I9" s="226"/>
      <c r="J9" s="226"/>
      <c r="K9" s="226">
        <v>2050</v>
      </c>
      <c r="L9" s="226"/>
      <c r="M9" s="226"/>
      <c r="N9" s="226"/>
      <c r="O9" s="62"/>
      <c r="P9" s="226">
        <v>2030</v>
      </c>
      <c r="Q9" s="226"/>
      <c r="R9" s="226"/>
      <c r="S9" s="226"/>
      <c r="T9" s="227">
        <v>2040</v>
      </c>
      <c r="U9" s="228"/>
      <c r="V9" s="228"/>
      <c r="W9" s="229"/>
      <c r="X9" s="226">
        <v>2050</v>
      </c>
      <c r="Y9" s="226"/>
      <c r="Z9" s="226"/>
      <c r="AA9" s="226"/>
      <c r="AB9" s="62"/>
      <c r="AC9" s="62"/>
    </row>
    <row r="10" spans="2:29" s="60" customFormat="1" x14ac:dyDescent="0.35">
      <c r="B10" s="62"/>
      <c r="C10" s="63" t="s">
        <v>67</v>
      </c>
      <c r="D10" s="64" t="s">
        <v>68</v>
      </c>
      <c r="E10" s="64" t="s">
        <v>69</v>
      </c>
      <c r="F10" s="65" t="s">
        <v>70</v>
      </c>
      <c r="G10" s="63" t="s">
        <v>67</v>
      </c>
      <c r="H10" s="64" t="s">
        <v>68</v>
      </c>
      <c r="I10" s="64" t="s">
        <v>69</v>
      </c>
      <c r="J10" s="65" t="s">
        <v>70</v>
      </c>
      <c r="K10" s="63" t="s">
        <v>67</v>
      </c>
      <c r="L10" s="64" t="s">
        <v>68</v>
      </c>
      <c r="M10" s="64" t="s">
        <v>69</v>
      </c>
      <c r="N10" s="65" t="s">
        <v>70</v>
      </c>
      <c r="O10" s="62"/>
      <c r="P10" s="77" t="s">
        <v>67</v>
      </c>
      <c r="Q10" s="78" t="s">
        <v>68</v>
      </c>
      <c r="R10" s="78" t="s">
        <v>69</v>
      </c>
      <c r="S10" s="79" t="s">
        <v>70</v>
      </c>
      <c r="T10" s="77" t="s">
        <v>67</v>
      </c>
      <c r="U10" s="78" t="s">
        <v>68</v>
      </c>
      <c r="V10" s="78" t="s">
        <v>69</v>
      </c>
      <c r="W10" s="79" t="s">
        <v>70</v>
      </c>
      <c r="X10" s="77" t="s">
        <v>67</v>
      </c>
      <c r="Y10" s="78" t="s">
        <v>68</v>
      </c>
      <c r="Z10" s="78" t="s">
        <v>69</v>
      </c>
      <c r="AA10" s="79" t="s">
        <v>70</v>
      </c>
      <c r="AB10" s="62"/>
      <c r="AC10" s="62"/>
    </row>
    <row r="11" spans="2:29" s="60" customFormat="1" x14ac:dyDescent="0.35">
      <c r="B11" s="73" t="s">
        <v>104</v>
      </c>
      <c r="C11" s="80">
        <v>93.920978312237111</v>
      </c>
      <c r="D11" s="81">
        <v>34.016257984166131</v>
      </c>
      <c r="E11" s="81">
        <v>136.83488551980798</v>
      </c>
      <c r="F11" s="82">
        <v>469.21361151777637</v>
      </c>
      <c r="G11" s="83">
        <v>111.84827446668756</v>
      </c>
      <c r="H11" s="81">
        <v>46.013416625739389</v>
      </c>
      <c r="I11" s="81">
        <v>239.23323604542924</v>
      </c>
      <c r="J11" s="82">
        <v>629.27472116095214</v>
      </c>
      <c r="K11" s="83">
        <v>122.79512428165557</v>
      </c>
      <c r="L11" s="81">
        <v>53.510433102712689</v>
      </c>
      <c r="M11" s="81">
        <v>299.01851270532597</v>
      </c>
      <c r="N11" s="82">
        <v>715.0218437063711</v>
      </c>
      <c r="P11" s="92">
        <v>90.09186243149442</v>
      </c>
      <c r="Q11" s="93">
        <v>31.270359722308598</v>
      </c>
      <c r="R11" s="93">
        <v>178.24897911384647</v>
      </c>
      <c r="S11" s="94">
        <v>545.76766929452299</v>
      </c>
      <c r="T11" s="92">
        <v>200.33030440052593</v>
      </c>
      <c r="U11" s="93">
        <v>86.677146883204955</v>
      </c>
      <c r="V11" s="93">
        <v>573.25363955082605</v>
      </c>
      <c r="W11" s="94">
        <v>1461.9695111171343</v>
      </c>
      <c r="X11" s="92">
        <v>298.19910098933451</v>
      </c>
      <c r="Y11" s="93">
        <v>135.96103031638475</v>
      </c>
      <c r="Z11" s="93">
        <v>1000.2868339006014</v>
      </c>
      <c r="AA11" s="94">
        <v>2212.115720855762</v>
      </c>
    </row>
    <row r="12" spans="2:29" s="60" customFormat="1" x14ac:dyDescent="0.35">
      <c r="B12" s="74" t="s">
        <v>105</v>
      </c>
      <c r="C12" s="84">
        <v>20.152776687560429</v>
      </c>
      <c r="D12" s="81">
        <v>55.587819598691439</v>
      </c>
      <c r="E12" s="81">
        <v>1472.512282904944</v>
      </c>
      <c r="F12" s="82">
        <v>926.88674935924485</v>
      </c>
      <c r="G12" s="83">
        <v>26.531663102612608</v>
      </c>
      <c r="H12" s="81">
        <v>65.150139660704426</v>
      </c>
      <c r="I12" s="81">
        <v>1833.0565325727996</v>
      </c>
      <c r="J12" s="82">
        <v>1148.8388389257564</v>
      </c>
      <c r="K12" s="83">
        <v>29.711664223001286</v>
      </c>
      <c r="L12" s="81">
        <v>69.289257440239453</v>
      </c>
      <c r="M12" s="81">
        <v>1989.8124326946377</v>
      </c>
      <c r="N12" s="82">
        <v>1245.1956523839792</v>
      </c>
      <c r="P12" s="92">
        <v>14.210440226349586</v>
      </c>
      <c r="Q12" s="93">
        <v>38.504940374634842</v>
      </c>
      <c r="R12" s="93">
        <v>1497.5802741135749</v>
      </c>
      <c r="S12" s="94">
        <v>861.07834024391309</v>
      </c>
      <c r="T12" s="92">
        <v>70.908248506272457</v>
      </c>
      <c r="U12" s="93">
        <v>167.60428401390629</v>
      </c>
      <c r="V12" s="93">
        <v>4142.4159365625155</v>
      </c>
      <c r="W12" s="94">
        <v>2384.9904093461846</v>
      </c>
      <c r="X12" s="92">
        <v>106.9172042000684</v>
      </c>
      <c r="Y12" s="93">
        <v>234.261915280349</v>
      </c>
      <c r="Z12" s="93">
        <v>6316.6838632943791</v>
      </c>
      <c r="AA12" s="94">
        <v>3599.3380398762238</v>
      </c>
    </row>
    <row r="13" spans="2:29" s="60" customFormat="1" x14ac:dyDescent="0.35">
      <c r="B13" s="75" t="s">
        <v>106</v>
      </c>
      <c r="C13" s="87">
        <v>0</v>
      </c>
      <c r="D13" s="85">
        <v>0</v>
      </c>
      <c r="E13" s="95">
        <v>0</v>
      </c>
      <c r="F13" s="86">
        <v>0</v>
      </c>
      <c r="G13" s="87">
        <v>0</v>
      </c>
      <c r="H13" s="85">
        <v>0</v>
      </c>
      <c r="I13" s="95">
        <v>0</v>
      </c>
      <c r="J13" s="86">
        <v>0</v>
      </c>
      <c r="K13" s="87">
        <v>0</v>
      </c>
      <c r="L13" s="85">
        <v>0</v>
      </c>
      <c r="M13" s="95">
        <v>0</v>
      </c>
      <c r="N13" s="86">
        <v>0</v>
      </c>
      <c r="P13" s="87">
        <v>0</v>
      </c>
      <c r="Q13" s="85">
        <v>0</v>
      </c>
      <c r="R13" s="95">
        <v>0</v>
      </c>
      <c r="S13" s="86">
        <v>0</v>
      </c>
      <c r="T13" s="87">
        <v>0</v>
      </c>
      <c r="U13" s="85">
        <v>0</v>
      </c>
      <c r="V13" s="95">
        <v>0</v>
      </c>
      <c r="W13" s="86">
        <v>0</v>
      </c>
      <c r="X13" s="87">
        <v>0</v>
      </c>
      <c r="Y13" s="85">
        <v>0</v>
      </c>
      <c r="Z13" s="95">
        <v>0</v>
      </c>
      <c r="AA13" s="86">
        <v>0</v>
      </c>
    </row>
    <row r="14" spans="2:29" s="60" customFormat="1" x14ac:dyDescent="0.35"/>
    <row r="15" spans="2:29" s="60" customFormat="1" x14ac:dyDescent="0.35">
      <c r="B15"/>
      <c r="C15" s="243" t="s">
        <v>71</v>
      </c>
      <c r="D15" s="244"/>
      <c r="E15" s="244"/>
      <c r="F15" s="244"/>
      <c r="G15" s="244"/>
      <c r="H15" s="244"/>
      <c r="I15" s="244"/>
      <c r="J15" s="244"/>
      <c r="K15" s="244"/>
      <c r="L15" s="244"/>
      <c r="M15" s="244"/>
      <c r="N15" s="245"/>
      <c r="P15" s="243" t="s">
        <v>71</v>
      </c>
      <c r="Q15" s="244"/>
      <c r="R15" s="244"/>
      <c r="S15" s="244"/>
      <c r="T15" s="244"/>
      <c r="U15" s="244"/>
      <c r="V15" s="244"/>
      <c r="W15" s="244"/>
      <c r="X15" s="244"/>
      <c r="Y15" s="244"/>
      <c r="Z15" s="244"/>
      <c r="AA15" s="245"/>
    </row>
    <row r="16" spans="2:29" s="60" customFormat="1" x14ac:dyDescent="0.35">
      <c r="B16" s="62"/>
      <c r="C16" s="226">
        <v>2030</v>
      </c>
      <c r="D16" s="226"/>
      <c r="E16" s="226"/>
      <c r="F16" s="226"/>
      <c r="G16" s="226">
        <v>2040</v>
      </c>
      <c r="H16" s="226"/>
      <c r="I16" s="226"/>
      <c r="J16" s="226"/>
      <c r="K16" s="226">
        <v>2050</v>
      </c>
      <c r="L16" s="226"/>
      <c r="M16" s="226"/>
      <c r="N16" s="226"/>
      <c r="O16" s="62"/>
      <c r="P16" s="226">
        <v>2030</v>
      </c>
      <c r="Q16" s="226"/>
      <c r="R16" s="226"/>
      <c r="S16" s="226"/>
      <c r="T16" s="233">
        <v>2040</v>
      </c>
      <c r="U16" s="234"/>
      <c r="V16" s="234"/>
      <c r="W16" s="235"/>
      <c r="X16" s="226">
        <v>2050</v>
      </c>
      <c r="Y16" s="226"/>
      <c r="Z16" s="226"/>
      <c r="AA16" s="226"/>
      <c r="AB16" s="62"/>
      <c r="AC16" s="62"/>
    </row>
    <row r="17" spans="2:29" s="60" customFormat="1" x14ac:dyDescent="0.35">
      <c r="B17" s="62"/>
      <c r="C17" s="63" t="s">
        <v>67</v>
      </c>
      <c r="D17" s="64" t="s">
        <v>68</v>
      </c>
      <c r="E17" s="64" t="s">
        <v>69</v>
      </c>
      <c r="F17" s="65" t="s">
        <v>70</v>
      </c>
      <c r="G17" s="63" t="s">
        <v>67</v>
      </c>
      <c r="H17" s="64" t="s">
        <v>68</v>
      </c>
      <c r="I17" s="64" t="s">
        <v>69</v>
      </c>
      <c r="J17" s="65" t="s">
        <v>70</v>
      </c>
      <c r="K17" s="63" t="s">
        <v>67</v>
      </c>
      <c r="L17" s="64" t="s">
        <v>68</v>
      </c>
      <c r="M17" s="64" t="s">
        <v>69</v>
      </c>
      <c r="N17" s="65" t="s">
        <v>70</v>
      </c>
      <c r="O17" s="62"/>
      <c r="P17" s="77" t="s">
        <v>67</v>
      </c>
      <c r="Q17" s="78" t="s">
        <v>68</v>
      </c>
      <c r="R17" s="78" t="s">
        <v>69</v>
      </c>
      <c r="S17" s="79" t="s">
        <v>70</v>
      </c>
      <c r="T17" s="77" t="s">
        <v>67</v>
      </c>
      <c r="U17" s="78" t="s">
        <v>68</v>
      </c>
      <c r="V17" s="78" t="s">
        <v>69</v>
      </c>
      <c r="W17" s="79" t="s">
        <v>70</v>
      </c>
      <c r="X17" s="77" t="s">
        <v>67</v>
      </c>
      <c r="Y17" s="78" t="s">
        <v>68</v>
      </c>
      <c r="Z17" s="78" t="s">
        <v>69</v>
      </c>
      <c r="AA17" s="79" t="s">
        <v>70</v>
      </c>
      <c r="AB17" s="62"/>
      <c r="AC17" s="62"/>
    </row>
    <row r="18" spans="2:29" s="60" customFormat="1" x14ac:dyDescent="0.35">
      <c r="B18" s="73" t="s">
        <v>104</v>
      </c>
      <c r="C18" s="80">
        <v>156.85273209267012</v>
      </c>
      <c r="D18" s="81">
        <v>348.46704932829095</v>
      </c>
      <c r="E18" s="81">
        <v>334.9675324811526</v>
      </c>
      <c r="F18" s="82">
        <v>530.25718404188137</v>
      </c>
      <c r="G18" s="83">
        <v>233.46623181040039</v>
      </c>
      <c r="H18" s="81">
        <v>360.81814861544473</v>
      </c>
      <c r="I18" s="81">
        <v>618.90265265699179</v>
      </c>
      <c r="J18" s="82">
        <v>682.93414463096371</v>
      </c>
      <c r="K18" s="83">
        <v>274.32318687436162</v>
      </c>
      <c r="L18" s="81">
        <v>378.03448196462898</v>
      </c>
      <c r="M18" s="81">
        <v>749.94006932542004</v>
      </c>
      <c r="N18" s="82">
        <v>904.69716393531667</v>
      </c>
      <c r="P18" s="92">
        <v>169.08388335210873</v>
      </c>
      <c r="Q18" s="93">
        <v>415.73561796013712</v>
      </c>
      <c r="R18" s="93">
        <v>481.80278275672589</v>
      </c>
      <c r="S18" s="94">
        <v>597.10358606137549</v>
      </c>
      <c r="T18" s="92">
        <v>486.63218747837749</v>
      </c>
      <c r="U18" s="93">
        <v>822.57808175871878</v>
      </c>
      <c r="V18" s="93">
        <v>1568.4365875700873</v>
      </c>
      <c r="W18" s="94">
        <v>1618.533769688041</v>
      </c>
      <c r="X18" s="92">
        <v>793.53401037325148</v>
      </c>
      <c r="Y18" s="93">
        <v>1109.7028563584704</v>
      </c>
      <c r="Z18" s="93">
        <v>2615.5026787682323</v>
      </c>
      <c r="AA18" s="94">
        <v>2619.6011197155171</v>
      </c>
    </row>
    <row r="19" spans="2:29" s="60" customFormat="1" x14ac:dyDescent="0.35">
      <c r="B19" s="74" t="s">
        <v>105</v>
      </c>
      <c r="C19" s="84">
        <v>26.11369509975993</v>
      </c>
      <c r="D19" s="81">
        <v>34.497041004012324</v>
      </c>
      <c r="E19" s="81">
        <v>1378.1357992875096</v>
      </c>
      <c r="F19" s="82">
        <v>974.79366369032925</v>
      </c>
      <c r="G19" s="83">
        <v>32.492581514812109</v>
      </c>
      <c r="H19" s="81">
        <v>83.695705568094567</v>
      </c>
      <c r="I19" s="81">
        <v>1837.3886286779955</v>
      </c>
      <c r="J19" s="82">
        <v>1196.7457532568408</v>
      </c>
      <c r="K19" s="83">
        <v>35.67258263520079</v>
      </c>
      <c r="L19" s="81">
        <v>88.223643302975574</v>
      </c>
      <c r="M19" s="81">
        <v>2008.7610536134705</v>
      </c>
      <c r="N19" s="82">
        <v>1196.7457532568408</v>
      </c>
      <c r="P19" s="92">
        <v>18.294843218065857</v>
      </c>
      <c r="Q19" s="93">
        <v>51.442548161038943</v>
      </c>
      <c r="R19" s="93">
        <v>1517.6403887045437</v>
      </c>
      <c r="S19" s="94">
        <v>890.55117592449892</v>
      </c>
      <c r="T19" s="92">
        <v>100.51978929913271</v>
      </c>
      <c r="U19" s="93">
        <v>236.32906197214703</v>
      </c>
      <c r="V19" s="93">
        <v>4267.7423408625946</v>
      </c>
      <c r="W19" s="94">
        <v>2590.9629018717337</v>
      </c>
      <c r="X19" s="92">
        <v>144.62253379203494</v>
      </c>
      <c r="Y19" s="93">
        <v>318.02496424726343</v>
      </c>
      <c r="Z19" s="93">
        <v>6463.4903159876139</v>
      </c>
      <c r="AA19" s="94">
        <v>3643.6729966630355</v>
      </c>
    </row>
    <row r="20" spans="2:29" s="60" customFormat="1" x14ac:dyDescent="0.35">
      <c r="B20" s="75" t="s">
        <v>106</v>
      </c>
      <c r="C20" s="88">
        <v>89.596577981874205</v>
      </c>
      <c r="D20" s="89">
        <v>91.113</v>
      </c>
      <c r="E20" s="89">
        <v>185.69399999999999</v>
      </c>
      <c r="F20" s="90">
        <v>0</v>
      </c>
      <c r="G20" s="91">
        <v>89.596577981874205</v>
      </c>
      <c r="H20" s="89">
        <v>243.5283223992443</v>
      </c>
      <c r="I20" s="89">
        <v>185.694778302044</v>
      </c>
      <c r="J20" s="90">
        <v>0</v>
      </c>
      <c r="K20" s="91">
        <v>89.596577981874205</v>
      </c>
      <c r="L20" s="89">
        <v>249.17466934244186</v>
      </c>
      <c r="M20" s="89">
        <v>198.54139068421969</v>
      </c>
      <c r="N20" s="90">
        <v>0</v>
      </c>
      <c r="P20" s="87">
        <v>34.8259871727142</v>
      </c>
      <c r="Q20" s="85">
        <v>34.854963221394897</v>
      </c>
      <c r="R20" s="95">
        <v>73.145701498123699</v>
      </c>
      <c r="S20" s="86">
        <v>0</v>
      </c>
      <c r="T20" s="87">
        <v>241.6247979699717</v>
      </c>
      <c r="U20" s="85">
        <v>610.43507091041215</v>
      </c>
      <c r="V20" s="85">
        <v>517.83564823643678</v>
      </c>
      <c r="W20" s="86">
        <v>0</v>
      </c>
      <c r="X20" s="87">
        <v>310.27779672581278</v>
      </c>
      <c r="Y20" s="85">
        <v>995.05026320898094</v>
      </c>
      <c r="Z20" s="85">
        <v>780.07449701343967</v>
      </c>
      <c r="AA20" s="86">
        <v>0</v>
      </c>
    </row>
    <row r="21" spans="2:29" s="60" customFormat="1" x14ac:dyDescent="0.35"/>
    <row r="22" spans="2:29" s="60" customFormat="1" x14ac:dyDescent="0.35">
      <c r="B22"/>
      <c r="C22" s="230" t="s">
        <v>78</v>
      </c>
      <c r="D22" s="231"/>
      <c r="E22" s="231"/>
      <c r="F22" s="231"/>
      <c r="G22" s="231"/>
      <c r="H22" s="231"/>
      <c r="I22" s="231"/>
      <c r="J22" s="231"/>
      <c r="K22" s="231"/>
      <c r="L22" s="231"/>
      <c r="M22" s="231"/>
      <c r="N22" s="232"/>
      <c r="P22" s="230" t="s">
        <v>78</v>
      </c>
      <c r="Q22" s="231"/>
      <c r="R22" s="231"/>
      <c r="S22" s="231"/>
      <c r="T22" s="231"/>
      <c r="U22" s="231"/>
      <c r="V22" s="231"/>
      <c r="W22" s="231"/>
      <c r="X22" s="231"/>
      <c r="Y22" s="231"/>
      <c r="Z22" s="231"/>
      <c r="AA22" s="232"/>
    </row>
    <row r="23" spans="2:29" s="60" customFormat="1" x14ac:dyDescent="0.35">
      <c r="B23" s="62"/>
      <c r="C23" s="226">
        <v>2030</v>
      </c>
      <c r="D23" s="226"/>
      <c r="E23" s="226"/>
      <c r="F23" s="226"/>
      <c r="G23" s="226">
        <v>2040</v>
      </c>
      <c r="H23" s="226"/>
      <c r="I23" s="226"/>
      <c r="J23" s="226"/>
      <c r="K23" s="226">
        <v>2050</v>
      </c>
      <c r="L23" s="226"/>
      <c r="M23" s="226"/>
      <c r="N23" s="226"/>
      <c r="O23" s="62"/>
      <c r="P23" s="226">
        <v>2030</v>
      </c>
      <c r="Q23" s="226"/>
      <c r="R23" s="226"/>
      <c r="S23" s="226"/>
      <c r="T23" s="233">
        <v>2040</v>
      </c>
      <c r="U23" s="234"/>
      <c r="V23" s="234"/>
      <c r="W23" s="235"/>
      <c r="X23" s="226">
        <v>2050</v>
      </c>
      <c r="Y23" s="226"/>
      <c r="Z23" s="226"/>
      <c r="AA23" s="226"/>
      <c r="AB23" s="62"/>
      <c r="AC23" s="62"/>
    </row>
    <row r="24" spans="2:29" s="60" customFormat="1" x14ac:dyDescent="0.35">
      <c r="B24" s="62"/>
      <c r="C24" s="63" t="s">
        <v>67</v>
      </c>
      <c r="D24" s="64" t="s">
        <v>68</v>
      </c>
      <c r="E24" s="64" t="s">
        <v>69</v>
      </c>
      <c r="F24" s="65" t="s">
        <v>70</v>
      </c>
      <c r="G24" s="63" t="s">
        <v>67</v>
      </c>
      <c r="H24" s="64" t="s">
        <v>68</v>
      </c>
      <c r="I24" s="64" t="s">
        <v>69</v>
      </c>
      <c r="J24" s="65" t="s">
        <v>70</v>
      </c>
      <c r="K24" s="63" t="s">
        <v>67</v>
      </c>
      <c r="L24" s="64" t="s">
        <v>68</v>
      </c>
      <c r="M24" s="64" t="s">
        <v>69</v>
      </c>
      <c r="N24" s="65" t="s">
        <v>70</v>
      </c>
      <c r="O24" s="62"/>
      <c r="P24" s="77" t="s">
        <v>67</v>
      </c>
      <c r="Q24" s="78" t="s">
        <v>68</v>
      </c>
      <c r="R24" s="78" t="s">
        <v>69</v>
      </c>
      <c r="S24" s="79" t="s">
        <v>70</v>
      </c>
      <c r="T24" s="77" t="s">
        <v>67</v>
      </c>
      <c r="U24" s="78" t="s">
        <v>68</v>
      </c>
      <c r="V24" s="78" t="s">
        <v>69</v>
      </c>
      <c r="W24" s="79" t="s">
        <v>70</v>
      </c>
      <c r="X24" s="77" t="s">
        <v>67</v>
      </c>
      <c r="Y24" s="78" t="s">
        <v>68</v>
      </c>
      <c r="Z24" s="78" t="s">
        <v>69</v>
      </c>
      <c r="AA24" s="79" t="s">
        <v>70</v>
      </c>
      <c r="AB24" s="62"/>
      <c r="AC24" s="62"/>
    </row>
    <row r="25" spans="2:29" s="60" customFormat="1" x14ac:dyDescent="0.35">
      <c r="B25" s="73" t="s">
        <v>104</v>
      </c>
      <c r="C25" s="83">
        <v>93.920978312237153</v>
      </c>
      <c r="D25" s="81">
        <v>34.016257984166145</v>
      </c>
      <c r="E25" s="81">
        <v>136.83488551980795</v>
      </c>
      <c r="F25" s="82">
        <v>473.86478444468628</v>
      </c>
      <c r="G25" s="83">
        <v>113.77824161520265</v>
      </c>
      <c r="H25" s="81">
        <v>46.370629167540237</v>
      </c>
      <c r="I25" s="81">
        <v>236.21991836864609</v>
      </c>
      <c r="J25" s="82">
        <v>579.88578467413799</v>
      </c>
      <c r="K25" s="83">
        <v>113.77824161520265</v>
      </c>
      <c r="L25" s="81">
        <v>46.370629167540237</v>
      </c>
      <c r="M25" s="81">
        <v>236.21991836864609</v>
      </c>
      <c r="N25" s="82">
        <v>579.88578467413799</v>
      </c>
      <c r="P25" s="92">
        <v>90.091862431494434</v>
      </c>
      <c r="Q25" s="93">
        <v>31.270359722308598</v>
      </c>
      <c r="R25" s="93">
        <v>178.2489791138465</v>
      </c>
      <c r="S25" s="94">
        <v>543.9246401004807</v>
      </c>
      <c r="T25" s="92">
        <v>210.48367087286439</v>
      </c>
      <c r="U25" s="93">
        <v>88.178089668326194</v>
      </c>
      <c r="V25" s="93">
        <v>584.12104482237055</v>
      </c>
      <c r="W25" s="94">
        <v>1391.3159411513789</v>
      </c>
      <c r="X25" s="92">
        <v>258.26177591119921</v>
      </c>
      <c r="Y25" s="93">
        <v>113.57896985896633</v>
      </c>
      <c r="Z25" s="93">
        <v>772.23184434597806</v>
      </c>
      <c r="AA25" s="94">
        <v>1689.2221700517825</v>
      </c>
    </row>
    <row r="26" spans="2:29" s="60" customFormat="1" x14ac:dyDescent="0.35">
      <c r="B26" s="74" t="s">
        <v>105</v>
      </c>
      <c r="C26" s="84">
        <v>119.70903433863373</v>
      </c>
      <c r="D26" s="81">
        <v>145.93102424280684</v>
      </c>
      <c r="E26" s="81">
        <v>1499.6252077725189</v>
      </c>
      <c r="F26" s="82">
        <v>1968.5535447997513</v>
      </c>
      <c r="G26" s="83">
        <v>275.15909350464347</v>
      </c>
      <c r="H26" s="81">
        <v>178.82987071059392</v>
      </c>
      <c r="I26" s="81">
        <v>1860.1739239993958</v>
      </c>
      <c r="J26" s="82">
        <v>2197.7597933707821</v>
      </c>
      <c r="K26" s="83">
        <v>545.92459053636549</v>
      </c>
      <c r="L26" s="81">
        <v>349.71210418374892</v>
      </c>
      <c r="M26" s="81">
        <v>2700.6954905019397</v>
      </c>
      <c r="N26" s="82">
        <v>2389.2060266173171</v>
      </c>
      <c r="P26" s="92">
        <v>85.853911887584502</v>
      </c>
      <c r="Q26" s="93">
        <v>119.70253968372248</v>
      </c>
      <c r="R26" s="93">
        <v>1516.4158445138496</v>
      </c>
      <c r="S26" s="94">
        <v>1829.18085514375</v>
      </c>
      <c r="T26" s="92">
        <v>437.56915613311747</v>
      </c>
      <c r="U26" s="93">
        <v>411.35989018676401</v>
      </c>
      <c r="V26" s="93">
        <v>4254.2296615234354</v>
      </c>
      <c r="W26" s="94">
        <v>4473.3795253401249</v>
      </c>
      <c r="X26" s="92">
        <v>2037.8423783053931</v>
      </c>
      <c r="Y26" s="93">
        <v>1541.7946752623573</v>
      </c>
      <c r="Z26" s="93">
        <v>10014.182295372393</v>
      </c>
      <c r="AA26" s="94">
        <v>7028.0654113916653</v>
      </c>
    </row>
    <row r="27" spans="2:29" s="60" customFormat="1" x14ac:dyDescent="0.35">
      <c r="B27" s="75" t="s">
        <v>106</v>
      </c>
      <c r="C27" s="87">
        <v>0</v>
      </c>
      <c r="D27" s="85">
        <v>0</v>
      </c>
      <c r="E27" s="95">
        <v>0</v>
      </c>
      <c r="F27" s="86">
        <v>0</v>
      </c>
      <c r="G27" s="87">
        <v>0</v>
      </c>
      <c r="H27" s="85">
        <v>0</v>
      </c>
      <c r="I27" s="95">
        <v>0</v>
      </c>
      <c r="J27" s="86">
        <v>0</v>
      </c>
      <c r="K27" s="87">
        <v>0</v>
      </c>
      <c r="L27" s="85">
        <v>0</v>
      </c>
      <c r="M27" s="95">
        <v>0</v>
      </c>
      <c r="N27" s="86">
        <v>0</v>
      </c>
      <c r="P27" s="87">
        <v>0</v>
      </c>
      <c r="Q27" s="85">
        <v>0</v>
      </c>
      <c r="R27" s="95">
        <v>0</v>
      </c>
      <c r="S27" s="86">
        <v>0</v>
      </c>
      <c r="T27" s="87">
        <v>0</v>
      </c>
      <c r="U27" s="85">
        <v>0</v>
      </c>
      <c r="V27" s="95">
        <v>0</v>
      </c>
      <c r="W27" s="86">
        <v>0</v>
      </c>
      <c r="X27" s="87">
        <v>0</v>
      </c>
      <c r="Y27" s="85">
        <v>0</v>
      </c>
      <c r="Z27" s="95">
        <v>0</v>
      </c>
      <c r="AA27" s="86">
        <v>0</v>
      </c>
    </row>
    <row r="28" spans="2:29" s="60" customFormat="1" x14ac:dyDescent="0.35"/>
    <row r="29" spans="2:29" s="60" customFormat="1" x14ac:dyDescent="0.35">
      <c r="B29"/>
      <c r="C29" s="240" t="s">
        <v>79</v>
      </c>
      <c r="D29" s="241"/>
      <c r="E29" s="241"/>
      <c r="F29" s="241"/>
      <c r="G29" s="241"/>
      <c r="H29" s="241"/>
      <c r="I29" s="241"/>
      <c r="J29" s="241"/>
      <c r="K29" s="241"/>
      <c r="L29" s="241"/>
      <c r="M29" s="241"/>
      <c r="N29" s="242"/>
      <c r="P29" s="240" t="s">
        <v>79</v>
      </c>
      <c r="Q29" s="241"/>
      <c r="R29" s="241"/>
      <c r="S29" s="241"/>
      <c r="T29" s="241"/>
      <c r="U29" s="241"/>
      <c r="V29" s="241"/>
      <c r="W29" s="241"/>
      <c r="X29" s="241"/>
      <c r="Y29" s="241"/>
      <c r="Z29" s="241"/>
      <c r="AA29" s="242"/>
    </row>
    <row r="30" spans="2:29" s="60" customFormat="1" x14ac:dyDescent="0.35">
      <c r="B30" s="62"/>
      <c r="C30" s="226">
        <v>2030</v>
      </c>
      <c r="D30" s="226"/>
      <c r="E30" s="226"/>
      <c r="F30" s="226"/>
      <c r="G30" s="226">
        <v>2040</v>
      </c>
      <c r="H30" s="226"/>
      <c r="I30" s="226"/>
      <c r="J30" s="226"/>
      <c r="K30" s="226">
        <v>2050</v>
      </c>
      <c r="L30" s="226"/>
      <c r="M30" s="226"/>
      <c r="N30" s="226"/>
      <c r="O30" s="62"/>
      <c r="P30" s="226">
        <v>2030</v>
      </c>
      <c r="Q30" s="226"/>
      <c r="R30" s="226"/>
      <c r="S30" s="226"/>
      <c r="T30" s="227">
        <v>2040</v>
      </c>
      <c r="U30" s="228"/>
      <c r="V30" s="228"/>
      <c r="W30" s="229"/>
      <c r="X30" s="226">
        <v>2050</v>
      </c>
      <c r="Y30" s="226"/>
      <c r="Z30" s="226"/>
      <c r="AA30" s="226"/>
      <c r="AB30" s="62"/>
      <c r="AC30" s="62"/>
    </row>
    <row r="31" spans="2:29" s="60" customFormat="1" x14ac:dyDescent="0.35">
      <c r="B31" s="62"/>
      <c r="C31" s="63" t="s">
        <v>67</v>
      </c>
      <c r="D31" s="64" t="s">
        <v>68</v>
      </c>
      <c r="E31" s="64" t="s">
        <v>69</v>
      </c>
      <c r="F31" s="65" t="s">
        <v>70</v>
      </c>
      <c r="G31" s="63" t="s">
        <v>67</v>
      </c>
      <c r="H31" s="64" t="s">
        <v>68</v>
      </c>
      <c r="I31" s="64" t="s">
        <v>69</v>
      </c>
      <c r="J31" s="65" t="s">
        <v>70</v>
      </c>
      <c r="K31" s="63" t="s">
        <v>67</v>
      </c>
      <c r="L31" s="64" t="s">
        <v>68</v>
      </c>
      <c r="M31" s="64" t="s">
        <v>69</v>
      </c>
      <c r="N31" s="65" t="s">
        <v>70</v>
      </c>
      <c r="O31" s="62"/>
      <c r="P31" s="77" t="s">
        <v>67</v>
      </c>
      <c r="Q31" s="78" t="s">
        <v>68</v>
      </c>
      <c r="R31" s="78" t="s">
        <v>69</v>
      </c>
      <c r="S31" s="79" t="s">
        <v>70</v>
      </c>
      <c r="T31" s="77" t="s">
        <v>67</v>
      </c>
      <c r="U31" s="78" t="s">
        <v>68</v>
      </c>
      <c r="V31" s="78" t="s">
        <v>69</v>
      </c>
      <c r="W31" s="79" t="s">
        <v>70</v>
      </c>
      <c r="X31" s="77" t="s">
        <v>67</v>
      </c>
      <c r="Y31" s="78" t="s">
        <v>68</v>
      </c>
      <c r="Z31" s="78" t="s">
        <v>69</v>
      </c>
      <c r="AA31" s="79" t="s">
        <v>70</v>
      </c>
      <c r="AB31" s="62"/>
      <c r="AC31" s="62"/>
    </row>
    <row r="32" spans="2:29" s="60" customFormat="1" x14ac:dyDescent="0.35">
      <c r="B32" s="73" t="s">
        <v>104</v>
      </c>
      <c r="C32" s="80">
        <v>439.6059058536178</v>
      </c>
      <c r="D32" s="81">
        <v>445.23262194694877</v>
      </c>
      <c r="E32" s="81">
        <v>1325.5368973531899</v>
      </c>
      <c r="F32" s="82">
        <v>1851.1822035121443</v>
      </c>
      <c r="G32" s="83">
        <v>439.6059058536178</v>
      </c>
      <c r="H32" s="81">
        <v>445.23262194694877</v>
      </c>
      <c r="I32" s="81">
        <v>1325.5368973531899</v>
      </c>
      <c r="J32" s="82">
        <v>1851.1822035121443</v>
      </c>
      <c r="K32" s="83">
        <v>439.6059058536178</v>
      </c>
      <c r="L32" s="81">
        <v>445.23262194694877</v>
      </c>
      <c r="M32" s="81">
        <v>1325.5368973531899</v>
      </c>
      <c r="N32" s="82">
        <v>1851.1822035121443</v>
      </c>
      <c r="P32" s="92">
        <v>822.45247457759069</v>
      </c>
      <c r="Q32" s="93">
        <v>664.86113105758091</v>
      </c>
      <c r="R32" s="93">
        <v>2826.5334955243802</v>
      </c>
      <c r="S32" s="94">
        <v>3390.6626784660002</v>
      </c>
      <c r="T32" s="92">
        <v>1398.4034069336215</v>
      </c>
      <c r="U32" s="93">
        <v>1130.4532475097433</v>
      </c>
      <c r="V32" s="93">
        <v>4805.9118212068752</v>
      </c>
      <c r="W32" s="94">
        <v>5765.0920726632357</v>
      </c>
      <c r="X32" s="92">
        <v>1751.987317696146</v>
      </c>
      <c r="Y32" s="93">
        <v>1416.2864185438182</v>
      </c>
      <c r="Z32" s="93">
        <v>5983.5715941977151</v>
      </c>
      <c r="AA32" s="94">
        <v>7222.785747357676</v>
      </c>
    </row>
    <row r="33" spans="2:27" s="60" customFormat="1" x14ac:dyDescent="0.35">
      <c r="B33" s="74" t="s">
        <v>105</v>
      </c>
      <c r="C33" s="84">
        <v>70.261060280375062</v>
      </c>
      <c r="D33" s="81">
        <v>95.41379887333801</v>
      </c>
      <c r="E33" s="81">
        <v>1527.4192143080957</v>
      </c>
      <c r="F33" s="82">
        <v>1630.8345575271044</v>
      </c>
      <c r="G33" s="83">
        <v>88.980560001773611</v>
      </c>
      <c r="H33" s="81">
        <v>115.91826500631235</v>
      </c>
      <c r="I33" s="81">
        <v>1895.3541934410346</v>
      </c>
      <c r="J33" s="82">
        <v>2033.7585476786642</v>
      </c>
      <c r="K33" s="83">
        <v>97.101339115665283</v>
      </c>
      <c r="L33" s="81">
        <v>124.81327459934391</v>
      </c>
      <c r="M33" s="81">
        <v>2054.7580863477251</v>
      </c>
      <c r="N33" s="82">
        <v>2033.7585476786642</v>
      </c>
      <c r="P33" s="92">
        <v>50.337215534707511</v>
      </c>
      <c r="Q33" s="93">
        <v>66.539455103597305</v>
      </c>
      <c r="R33" s="93">
        <v>1543.9412976706396</v>
      </c>
      <c r="S33" s="94">
        <v>1519.3665919544076</v>
      </c>
      <c r="T33" s="92">
        <v>170.13136735938878</v>
      </c>
      <c r="U33" s="93">
        <v>238.73737031346516</v>
      </c>
      <c r="V33" s="93">
        <v>4369.8004117047185</v>
      </c>
      <c r="W33" s="94">
        <v>4185.2632775735456</v>
      </c>
      <c r="X33" s="92">
        <v>248.09218722035126</v>
      </c>
      <c r="Y33" s="93">
        <v>334.75811912113375</v>
      </c>
      <c r="Z33" s="93">
        <v>6569.4766921265445</v>
      </c>
      <c r="AA33" s="94">
        <v>5910.7615885352825</v>
      </c>
    </row>
    <row r="34" spans="2:27" s="60" customFormat="1" x14ac:dyDescent="0.35">
      <c r="B34" s="75" t="s">
        <v>106</v>
      </c>
      <c r="C34" s="88">
        <v>0</v>
      </c>
      <c r="D34" s="89">
        <v>0</v>
      </c>
      <c r="E34" s="89">
        <v>0</v>
      </c>
      <c r="F34" s="90">
        <v>0</v>
      </c>
      <c r="G34" s="91">
        <v>0</v>
      </c>
      <c r="H34" s="89">
        <v>0</v>
      </c>
      <c r="I34" s="89">
        <v>637.21501077863729</v>
      </c>
      <c r="J34" s="90">
        <v>0</v>
      </c>
      <c r="K34" s="91">
        <v>0</v>
      </c>
      <c r="L34" s="89">
        <v>0</v>
      </c>
      <c r="M34" s="89">
        <v>637.21501077863729</v>
      </c>
      <c r="N34" s="90">
        <v>0</v>
      </c>
      <c r="P34" s="87">
        <v>0</v>
      </c>
      <c r="Q34" s="85">
        <v>0</v>
      </c>
      <c r="R34" s="95">
        <v>0</v>
      </c>
      <c r="S34" s="86">
        <v>0</v>
      </c>
      <c r="T34" s="87">
        <v>0</v>
      </c>
      <c r="U34" s="85">
        <v>0</v>
      </c>
      <c r="V34" s="85">
        <v>1020.6901843205369</v>
      </c>
      <c r="W34" s="86">
        <v>0</v>
      </c>
      <c r="X34" s="87">
        <v>0</v>
      </c>
      <c r="Y34" s="85">
        <v>0</v>
      </c>
      <c r="Z34" s="85">
        <v>1483.0713690917578</v>
      </c>
      <c r="AA34" s="86">
        <v>0</v>
      </c>
    </row>
    <row r="35" spans="2:27" s="60" customFormat="1" x14ac:dyDescent="0.35"/>
    <row r="36" spans="2:27" s="60" customFormat="1" x14ac:dyDescent="0.35"/>
    <row r="37" spans="2:27" s="60" customFormat="1" x14ac:dyDescent="0.35"/>
    <row r="38" spans="2:27" s="60" customFormat="1" x14ac:dyDescent="0.35"/>
    <row r="39" spans="2:27" s="60" customFormat="1" x14ac:dyDescent="0.35"/>
    <row r="40" spans="2:27" s="60" customFormat="1" x14ac:dyDescent="0.35"/>
    <row r="41" spans="2:27" s="60" customFormat="1" x14ac:dyDescent="0.35"/>
  </sheetData>
  <mergeCells count="34">
    <mergeCell ref="P6:AB6"/>
    <mergeCell ref="C8:N8"/>
    <mergeCell ref="C29:N29"/>
    <mergeCell ref="C22:N22"/>
    <mergeCell ref="C15:N15"/>
    <mergeCell ref="P29:AA29"/>
    <mergeCell ref="P15:AA15"/>
    <mergeCell ref="C16:F16"/>
    <mergeCell ref="G16:J16"/>
    <mergeCell ref="K16:N16"/>
    <mergeCell ref="P16:S16"/>
    <mergeCell ref="T16:W16"/>
    <mergeCell ref="X16:AA16"/>
    <mergeCell ref="B6:N6"/>
    <mergeCell ref="P8:AA8"/>
    <mergeCell ref="C9:F9"/>
    <mergeCell ref="X30:AA30"/>
    <mergeCell ref="P22:AA22"/>
    <mergeCell ref="C23:F23"/>
    <mergeCell ref="G23:J23"/>
    <mergeCell ref="K23:N23"/>
    <mergeCell ref="P23:S23"/>
    <mergeCell ref="T23:W23"/>
    <mergeCell ref="X23:AA23"/>
    <mergeCell ref="C30:F30"/>
    <mergeCell ref="G30:J30"/>
    <mergeCell ref="K30:N30"/>
    <mergeCell ref="P30:S30"/>
    <mergeCell ref="T30:W30"/>
    <mergeCell ref="G9:J9"/>
    <mergeCell ref="K9:N9"/>
    <mergeCell ref="P9:S9"/>
    <mergeCell ref="T9:W9"/>
    <mergeCell ref="X9:AA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589FC-433A-41F1-A103-223D32E1DD15}">
  <sheetPr>
    <tabColor theme="5"/>
  </sheetPr>
  <dimension ref="B1:S33"/>
  <sheetViews>
    <sheetView showGridLines="0" workbookViewId="0"/>
  </sheetViews>
  <sheetFormatPr defaultRowHeight="12" x14ac:dyDescent="0.35"/>
  <cols>
    <col min="2" max="2" width="11.125" customWidth="1"/>
    <col min="3" max="10" width="32.25" customWidth="1"/>
    <col min="11" max="12" width="29.375" customWidth="1"/>
  </cols>
  <sheetData>
    <row r="1" spans="2:19" s="60" customFormat="1" x14ac:dyDescent="0.35"/>
    <row r="2" spans="2:19" ht="16" thickBot="1" x14ac:dyDescent="0.4">
      <c r="B2" s="2" t="s">
        <v>281</v>
      </c>
      <c r="C2" s="2"/>
      <c r="D2" s="2"/>
      <c r="E2" s="2"/>
      <c r="F2" s="2"/>
      <c r="G2" s="2"/>
      <c r="H2" s="2"/>
      <c r="I2" s="2"/>
      <c r="J2" s="2"/>
      <c r="K2" s="2"/>
      <c r="L2" s="2"/>
      <c r="M2" s="2"/>
    </row>
    <row r="3" spans="2:19" s="60" customFormat="1" ht="12.5" thickTop="1" x14ac:dyDescent="0.35"/>
    <row r="4" spans="2:19" ht="15" thickBot="1" x14ac:dyDescent="0.4">
      <c r="C4" s="1" t="s">
        <v>122</v>
      </c>
      <c r="D4" s="1"/>
      <c r="E4" s="1"/>
      <c r="F4" s="1"/>
      <c r="G4" s="1"/>
      <c r="H4" s="1"/>
      <c r="I4" s="1"/>
      <c r="J4" s="1"/>
      <c r="K4" s="1"/>
      <c r="L4" s="1"/>
      <c r="M4" s="1"/>
      <c r="N4" s="1"/>
      <c r="O4" s="1"/>
      <c r="P4" s="1"/>
      <c r="Q4" s="1"/>
      <c r="R4" s="1"/>
      <c r="S4" s="1"/>
    </row>
    <row r="5" spans="2:19" s="60" customFormat="1" x14ac:dyDescent="0.35"/>
    <row r="6" spans="2:19" s="60" customFormat="1" ht="12" customHeight="1" x14ac:dyDescent="0.35">
      <c r="C6" s="72" t="s">
        <v>123</v>
      </c>
      <c r="D6" s="70"/>
      <c r="E6" s="70"/>
      <c r="F6" s="70"/>
      <c r="G6" s="70"/>
      <c r="H6" s="70"/>
      <c r="I6" s="70"/>
      <c r="J6" s="70"/>
      <c r="K6" s="70"/>
    </row>
    <row r="8" spans="2:19" x14ac:dyDescent="0.35">
      <c r="C8" s="9"/>
      <c r="D8" s="224" t="s">
        <v>67</v>
      </c>
      <c r="E8" s="224"/>
      <c r="F8" s="224" t="s">
        <v>68</v>
      </c>
      <c r="G8" s="224"/>
      <c r="H8" s="224" t="s">
        <v>69</v>
      </c>
      <c r="I8" s="224"/>
      <c r="J8" s="224" t="s">
        <v>70</v>
      </c>
      <c r="K8" s="224"/>
    </row>
    <row r="9" spans="2:19" x14ac:dyDescent="0.35">
      <c r="C9" s="9"/>
      <c r="D9" s="96" t="s">
        <v>114</v>
      </c>
      <c r="E9" s="96" t="s">
        <v>115</v>
      </c>
      <c r="F9" s="96" t="s">
        <v>114</v>
      </c>
      <c r="G9" s="96" t="s">
        <v>115</v>
      </c>
      <c r="H9" s="96" t="s">
        <v>114</v>
      </c>
      <c r="I9" s="96" t="s">
        <v>115</v>
      </c>
      <c r="J9" s="96" t="s">
        <v>114</v>
      </c>
      <c r="K9" s="96" t="s">
        <v>115</v>
      </c>
    </row>
    <row r="10" spans="2:19" x14ac:dyDescent="0.35">
      <c r="C10" s="101" t="s">
        <v>108</v>
      </c>
      <c r="D10" s="122" t="s">
        <v>112</v>
      </c>
      <c r="E10" s="123"/>
      <c r="F10" s="122" t="s">
        <v>117</v>
      </c>
      <c r="G10" s="123"/>
      <c r="H10" s="122" t="s">
        <v>117</v>
      </c>
      <c r="I10" s="123"/>
      <c r="J10" s="122" t="s">
        <v>117</v>
      </c>
      <c r="K10" s="123"/>
    </row>
    <row r="11" spans="2:19" x14ac:dyDescent="0.35">
      <c r="C11" s="101" t="s">
        <v>109</v>
      </c>
      <c r="D11" s="122" t="s">
        <v>113</v>
      </c>
      <c r="E11" s="123"/>
      <c r="F11" s="122" t="s">
        <v>116</v>
      </c>
      <c r="G11" s="123"/>
      <c r="H11" s="122" t="s">
        <v>119</v>
      </c>
      <c r="I11" s="123"/>
      <c r="J11" s="122" t="s">
        <v>119</v>
      </c>
      <c r="K11" s="123"/>
    </row>
    <row r="12" spans="2:19" ht="20" x14ac:dyDescent="0.35">
      <c r="C12" s="101" t="s">
        <v>110</v>
      </c>
      <c r="D12" s="97">
        <v>5.8400000000000001E-2</v>
      </c>
      <c r="E12" s="97">
        <v>5.9200000000000003E-2</v>
      </c>
      <c r="F12" s="97">
        <v>6.8099999999999994E-2</v>
      </c>
      <c r="G12" s="97">
        <v>6.8099999999999994E-2</v>
      </c>
      <c r="H12" s="97">
        <v>5.4699999999999999E-2</v>
      </c>
      <c r="I12" s="97">
        <v>5.5100000000000003E-2</v>
      </c>
      <c r="J12" s="97">
        <v>8.5900000000000004E-2</v>
      </c>
      <c r="K12" s="97">
        <v>8.09E-2</v>
      </c>
    </row>
    <row r="13" spans="2:19" ht="41.5" customHeight="1" x14ac:dyDescent="0.35">
      <c r="C13" s="101" t="s">
        <v>111</v>
      </c>
      <c r="D13" s="97">
        <v>4.58E-2</v>
      </c>
      <c r="E13" s="97">
        <v>4.5999999999999999E-2</v>
      </c>
      <c r="F13" s="124" t="s">
        <v>118</v>
      </c>
      <c r="G13" s="125"/>
      <c r="H13" s="124" t="s">
        <v>120</v>
      </c>
      <c r="I13" s="125"/>
      <c r="J13" s="124" t="s">
        <v>121</v>
      </c>
      <c r="K13" s="125"/>
    </row>
    <row r="16" spans="2:19" ht="15" thickBot="1" x14ac:dyDescent="0.4">
      <c r="C16" s="1" t="s">
        <v>203</v>
      </c>
      <c r="D16" s="1"/>
      <c r="E16" s="1"/>
      <c r="F16" s="1"/>
      <c r="G16" s="1"/>
      <c r="H16" s="1"/>
      <c r="I16" s="1"/>
      <c r="J16" s="1"/>
      <c r="K16" s="1"/>
      <c r="L16" s="1"/>
      <c r="M16" s="1"/>
      <c r="N16" s="1"/>
      <c r="O16" s="1"/>
      <c r="P16" s="1"/>
      <c r="Q16" s="1"/>
      <c r="R16" s="1"/>
      <c r="S16" s="1"/>
    </row>
    <row r="18" spans="3:14" s="60" customFormat="1" ht="12" customHeight="1" x14ac:dyDescent="0.35">
      <c r="C18" s="72" t="s">
        <v>101</v>
      </c>
      <c r="D18" s="70"/>
      <c r="E18" s="70"/>
      <c r="F18" s="70"/>
      <c r="G18" s="70"/>
      <c r="H18" s="70"/>
      <c r="I18" s="70"/>
      <c r="J18" s="70"/>
      <c r="K18" s="70"/>
      <c r="L18" s="70"/>
      <c r="M18" s="70"/>
      <c r="N18" s="70"/>
    </row>
    <row r="19" spans="3:14" s="60" customFormat="1" ht="12" customHeight="1" x14ac:dyDescent="0.35">
      <c r="C19" s="72"/>
      <c r="D19" s="70"/>
      <c r="E19" s="70"/>
      <c r="F19" s="70"/>
      <c r="G19" s="70"/>
      <c r="H19" s="70"/>
      <c r="I19" s="70"/>
      <c r="J19" s="70"/>
      <c r="K19" s="70"/>
      <c r="L19" s="70"/>
      <c r="M19" s="70"/>
      <c r="N19" s="70"/>
    </row>
    <row r="20" spans="3:14" ht="12" customHeight="1" x14ac:dyDescent="0.35">
      <c r="C20" s="224" t="s">
        <v>107</v>
      </c>
      <c r="D20" s="224" t="s">
        <v>133</v>
      </c>
      <c r="E20" s="224" t="s">
        <v>134</v>
      </c>
      <c r="F20" s="224" t="s">
        <v>135</v>
      </c>
      <c r="G20" s="224" t="s">
        <v>136</v>
      </c>
      <c r="H20" s="224"/>
      <c r="I20" s="224"/>
      <c r="J20" s="224" t="s">
        <v>137</v>
      </c>
      <c r="K20" s="224"/>
      <c r="L20" s="224"/>
    </row>
    <row r="21" spans="3:14" x14ac:dyDescent="0.35">
      <c r="C21" s="224"/>
      <c r="D21" s="246"/>
      <c r="E21" s="246"/>
      <c r="F21" s="246"/>
      <c r="G21" s="96" t="s">
        <v>128</v>
      </c>
      <c r="H21" s="96" t="s">
        <v>129</v>
      </c>
      <c r="I21" s="96" t="s">
        <v>130</v>
      </c>
      <c r="J21" s="96" t="s">
        <v>128</v>
      </c>
      <c r="K21" s="96" t="s">
        <v>129</v>
      </c>
      <c r="L21" s="96" t="s">
        <v>130</v>
      </c>
    </row>
    <row r="22" spans="3:14" x14ac:dyDescent="0.35">
      <c r="C22" s="247" t="s">
        <v>67</v>
      </c>
      <c r="D22" s="102" t="s">
        <v>131</v>
      </c>
      <c r="E22" s="102" t="s">
        <v>124</v>
      </c>
      <c r="F22" s="148">
        <v>245</v>
      </c>
      <c r="G22" s="148">
        <v>49</v>
      </c>
      <c r="H22" s="148">
        <v>98</v>
      </c>
      <c r="I22" s="148">
        <v>122.5</v>
      </c>
      <c r="J22" s="148">
        <v>490</v>
      </c>
      <c r="K22" s="148">
        <v>539</v>
      </c>
      <c r="L22" s="148">
        <v>661.5</v>
      </c>
    </row>
    <row r="23" spans="3:14" x14ac:dyDescent="0.35">
      <c r="C23" s="247"/>
      <c r="D23" s="102"/>
      <c r="E23" s="102" t="s">
        <v>125</v>
      </c>
      <c r="F23" s="148">
        <v>732.4</v>
      </c>
      <c r="G23" s="148">
        <v>146.47999999999999</v>
      </c>
      <c r="H23" s="148">
        <v>219.72</v>
      </c>
      <c r="I23" s="148">
        <v>366.2</v>
      </c>
      <c r="J23" s="148">
        <v>1025.3599999999999</v>
      </c>
      <c r="K23" s="148">
        <v>1098.5999999999999</v>
      </c>
      <c r="L23" s="148">
        <v>1318.32</v>
      </c>
    </row>
    <row r="24" spans="3:14" x14ac:dyDescent="0.35">
      <c r="C24" s="247"/>
      <c r="D24" s="102" t="s">
        <v>132</v>
      </c>
      <c r="E24" s="102" t="s">
        <v>125</v>
      </c>
      <c r="F24" s="148">
        <v>1486</v>
      </c>
      <c r="G24" s="148">
        <v>297.2</v>
      </c>
      <c r="H24" s="148">
        <v>445.8</v>
      </c>
      <c r="I24" s="148">
        <v>743</v>
      </c>
      <c r="J24" s="148">
        <v>2080.4</v>
      </c>
      <c r="K24" s="148">
        <v>2229</v>
      </c>
      <c r="L24" s="148">
        <v>2674.8</v>
      </c>
    </row>
    <row r="25" spans="3:14" x14ac:dyDescent="0.35">
      <c r="C25" s="247" t="s">
        <v>68</v>
      </c>
      <c r="D25" s="102" t="s">
        <v>131</v>
      </c>
      <c r="E25" s="102" t="s">
        <v>124</v>
      </c>
      <c r="F25" s="148">
        <v>577</v>
      </c>
      <c r="G25" s="148">
        <v>115.4</v>
      </c>
      <c r="H25" s="148">
        <v>230.8</v>
      </c>
      <c r="I25" s="148">
        <v>288.5</v>
      </c>
      <c r="J25" s="148">
        <v>1154</v>
      </c>
      <c r="K25" s="148">
        <v>1269.4000000000001</v>
      </c>
      <c r="L25" s="148">
        <v>1557.9</v>
      </c>
    </row>
    <row r="26" spans="3:14" x14ac:dyDescent="0.35">
      <c r="C26" s="247"/>
      <c r="D26" s="102"/>
      <c r="E26" s="102" t="s">
        <v>125</v>
      </c>
      <c r="F26" s="148">
        <v>613</v>
      </c>
      <c r="G26" s="148">
        <v>122.6</v>
      </c>
      <c r="H26" s="148">
        <v>183.9</v>
      </c>
      <c r="I26" s="148">
        <v>306.5</v>
      </c>
      <c r="J26" s="148">
        <v>858.2</v>
      </c>
      <c r="K26" s="148">
        <v>919.5</v>
      </c>
      <c r="L26" s="148">
        <v>1103.4000000000001</v>
      </c>
    </row>
    <row r="27" spans="3:14" x14ac:dyDescent="0.35">
      <c r="C27" s="247"/>
      <c r="D27" s="102" t="s">
        <v>132</v>
      </c>
      <c r="E27" s="102" t="s">
        <v>125</v>
      </c>
      <c r="F27" s="148">
        <v>4950</v>
      </c>
      <c r="G27" s="148">
        <v>990</v>
      </c>
      <c r="H27" s="148">
        <v>1485</v>
      </c>
      <c r="I27" s="148">
        <v>2475</v>
      </c>
      <c r="J27" s="148">
        <v>6930</v>
      </c>
      <c r="K27" s="148">
        <v>7425</v>
      </c>
      <c r="L27" s="148">
        <v>8910</v>
      </c>
    </row>
    <row r="28" spans="3:14" x14ac:dyDescent="0.35">
      <c r="C28" s="247" t="s">
        <v>69</v>
      </c>
      <c r="D28" s="102" t="s">
        <v>131</v>
      </c>
      <c r="E28" s="102" t="s">
        <v>124</v>
      </c>
      <c r="F28" s="148">
        <v>1713</v>
      </c>
      <c r="G28" s="148">
        <v>342.6</v>
      </c>
      <c r="H28" s="148">
        <v>685.2</v>
      </c>
      <c r="I28" s="148">
        <v>3426</v>
      </c>
      <c r="J28" s="148">
        <v>3768.6</v>
      </c>
      <c r="K28" s="148">
        <v>4625.1000000000004</v>
      </c>
      <c r="L28" s="148">
        <v>3426</v>
      </c>
    </row>
    <row r="29" spans="3:14" x14ac:dyDescent="0.35">
      <c r="C29" s="247"/>
      <c r="D29" s="102"/>
      <c r="E29" s="102" t="s">
        <v>126</v>
      </c>
      <c r="F29" s="148">
        <v>572</v>
      </c>
      <c r="G29" s="148">
        <v>171.6</v>
      </c>
      <c r="H29" s="148">
        <v>286</v>
      </c>
      <c r="I29" s="148">
        <v>1430</v>
      </c>
      <c r="J29" s="148">
        <v>1601.6</v>
      </c>
      <c r="K29" s="148">
        <v>1944.8</v>
      </c>
      <c r="L29" s="148">
        <v>1430</v>
      </c>
    </row>
    <row r="30" spans="3:14" x14ac:dyDescent="0.35">
      <c r="C30" s="247"/>
      <c r="D30" s="102" t="s">
        <v>132</v>
      </c>
      <c r="E30" s="102" t="s">
        <v>125</v>
      </c>
      <c r="F30" s="148">
        <v>8300</v>
      </c>
      <c r="G30" s="148">
        <v>1660</v>
      </c>
      <c r="H30" s="148">
        <v>2490</v>
      </c>
      <c r="I30" s="148">
        <v>11620</v>
      </c>
      <c r="J30" s="148">
        <v>12450</v>
      </c>
      <c r="K30" s="148">
        <v>14940</v>
      </c>
      <c r="L30" s="148">
        <v>11620</v>
      </c>
    </row>
    <row r="31" spans="3:14" x14ac:dyDescent="0.35">
      <c r="C31" s="247" t="s">
        <v>70</v>
      </c>
      <c r="D31" s="102" t="s">
        <v>131</v>
      </c>
      <c r="E31" s="102" t="s">
        <v>127</v>
      </c>
      <c r="F31" s="148">
        <v>650</v>
      </c>
      <c r="G31" s="148">
        <v>130</v>
      </c>
      <c r="H31" s="148">
        <v>260</v>
      </c>
      <c r="I31" s="148">
        <v>325</v>
      </c>
      <c r="J31" s="148">
        <v>1300</v>
      </c>
      <c r="K31" s="148">
        <v>1430</v>
      </c>
      <c r="L31" s="148">
        <v>1755</v>
      </c>
    </row>
    <row r="32" spans="3:14" x14ac:dyDescent="0.35">
      <c r="C32" s="247"/>
      <c r="D32" s="102"/>
      <c r="E32" s="102" t="s">
        <v>125</v>
      </c>
      <c r="F32" s="148">
        <v>650</v>
      </c>
      <c r="G32" s="148">
        <v>130</v>
      </c>
      <c r="H32" s="148">
        <v>195</v>
      </c>
      <c r="I32" s="148">
        <v>325</v>
      </c>
      <c r="J32" s="148">
        <v>910</v>
      </c>
      <c r="K32" s="148">
        <v>975</v>
      </c>
      <c r="L32" s="148">
        <v>1170</v>
      </c>
    </row>
    <row r="33" spans="3:12" x14ac:dyDescent="0.35">
      <c r="C33" s="247"/>
      <c r="D33" s="102" t="s">
        <v>132</v>
      </c>
      <c r="E33" s="102" t="s">
        <v>125</v>
      </c>
      <c r="F33" s="148">
        <v>3100</v>
      </c>
      <c r="G33" s="148">
        <v>620</v>
      </c>
      <c r="H33" s="148">
        <v>930</v>
      </c>
      <c r="I33" s="148">
        <v>1550</v>
      </c>
      <c r="J33" s="148">
        <v>4340</v>
      </c>
      <c r="K33" s="148">
        <v>4650</v>
      </c>
      <c r="L33" s="148">
        <v>5580</v>
      </c>
    </row>
  </sheetData>
  <mergeCells count="14">
    <mergeCell ref="C22:C24"/>
    <mergeCell ref="C31:C33"/>
    <mergeCell ref="C28:C30"/>
    <mergeCell ref="C25:C27"/>
    <mergeCell ref="D20:D21"/>
    <mergeCell ref="D8:E8"/>
    <mergeCell ref="F8:G8"/>
    <mergeCell ref="H8:I8"/>
    <mergeCell ref="J8:K8"/>
    <mergeCell ref="C20:C21"/>
    <mergeCell ref="F20:F21"/>
    <mergeCell ref="G20:I20"/>
    <mergeCell ref="J20:L20"/>
    <mergeCell ref="E20:E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C80FB-3154-4016-AC1A-7844693EF544}">
  <sheetPr>
    <tabColor theme="5"/>
  </sheetPr>
  <dimension ref="B2:AH107"/>
  <sheetViews>
    <sheetView showGridLines="0" zoomScaleNormal="100" workbookViewId="0"/>
  </sheetViews>
  <sheetFormatPr defaultRowHeight="12" x14ac:dyDescent="0.35"/>
  <cols>
    <col min="2" max="2" width="11.125" customWidth="1"/>
    <col min="3" max="3" width="15.625" customWidth="1"/>
    <col min="4" max="4" width="34.625" customWidth="1"/>
    <col min="5" max="6" width="27.375" customWidth="1"/>
    <col min="7" max="34" width="15.25" customWidth="1"/>
    <col min="35" max="35" width="12.375" customWidth="1"/>
  </cols>
  <sheetData>
    <row r="2" spans="2:19" ht="16" thickBot="1" x14ac:dyDescent="0.4">
      <c r="B2" s="2" t="s">
        <v>282</v>
      </c>
      <c r="C2" s="2"/>
      <c r="D2" s="2"/>
      <c r="E2" s="2"/>
      <c r="F2" s="2"/>
      <c r="G2" s="2"/>
      <c r="H2" s="2"/>
      <c r="I2" s="2"/>
      <c r="J2" s="2"/>
      <c r="K2" s="2"/>
      <c r="L2" s="2"/>
      <c r="M2" s="2"/>
      <c r="N2" s="2"/>
    </row>
    <row r="3" spans="2:19" ht="12.5" thickTop="1" x14ac:dyDescent="0.35"/>
    <row r="4" spans="2:19" ht="15" thickBot="1" x14ac:dyDescent="0.4">
      <c r="C4" s="1" t="s">
        <v>248</v>
      </c>
      <c r="D4" s="1"/>
      <c r="E4" s="1"/>
      <c r="F4" s="1"/>
      <c r="G4" s="1"/>
      <c r="H4" s="1"/>
      <c r="I4" s="1"/>
      <c r="J4" s="1"/>
      <c r="K4" s="1"/>
      <c r="L4" s="1"/>
      <c r="M4" s="1"/>
      <c r="N4" s="1"/>
      <c r="O4" s="1"/>
      <c r="P4" s="1"/>
      <c r="Q4" s="1"/>
      <c r="R4" s="1"/>
      <c r="S4" s="1"/>
    </row>
    <row r="6" spans="2:19" ht="36" x14ac:dyDescent="0.35">
      <c r="C6" s="143"/>
      <c r="D6" s="96" t="s">
        <v>250</v>
      </c>
      <c r="E6" s="96" t="s">
        <v>251</v>
      </c>
      <c r="F6" s="96" t="s">
        <v>252</v>
      </c>
      <c r="G6" s="96" t="s">
        <v>112</v>
      </c>
    </row>
    <row r="7" spans="2:19" x14ac:dyDescent="0.35">
      <c r="C7" t="s">
        <v>67</v>
      </c>
      <c r="D7" s="190">
        <f>E7+F7</f>
        <v>4630.12</v>
      </c>
      <c r="E7" s="191">
        <f>SUM(Investments!$H$22:$H$24)</f>
        <v>763.52</v>
      </c>
      <c r="F7" s="191">
        <f>SUM(Investments!$K$22:$K$24)</f>
        <v>3866.6</v>
      </c>
      <c r="G7" s="192">
        <f>Investments!E13</f>
        <v>4.5999999999999999E-2</v>
      </c>
    </row>
    <row r="8" spans="2:19" x14ac:dyDescent="0.35">
      <c r="C8" t="s">
        <v>68</v>
      </c>
      <c r="D8" s="190">
        <f>E8+F8</f>
        <v>11513.6</v>
      </c>
      <c r="E8" s="191">
        <f>SUM(Investments!$H$25:$H$27)</f>
        <v>1899.7</v>
      </c>
      <c r="F8" s="191">
        <f>SUM(Investments!$K$25:$K$27)</f>
        <v>9613.9</v>
      </c>
      <c r="G8" s="192">
        <f>Investments!G12</f>
        <v>6.8099999999999994E-2</v>
      </c>
    </row>
    <row r="9" spans="2:19" x14ac:dyDescent="0.35">
      <c r="C9" t="s">
        <v>69</v>
      </c>
      <c r="D9" s="190">
        <f t="shared" ref="D9:D10" si="0">E9+F9</f>
        <v>24971.100000000002</v>
      </c>
      <c r="E9" s="191">
        <f>SUM(Investments!$H$28:$H$30)</f>
        <v>3461.2</v>
      </c>
      <c r="F9" s="191">
        <f>SUM(Investments!$K$28:$K$30)</f>
        <v>21509.9</v>
      </c>
      <c r="G9" s="192">
        <f>Investments!I12</f>
        <v>5.5100000000000003E-2</v>
      </c>
    </row>
    <row r="10" spans="2:19" x14ac:dyDescent="0.35">
      <c r="C10" t="s">
        <v>231</v>
      </c>
      <c r="D10" s="190">
        <f t="shared" si="0"/>
        <v>8440</v>
      </c>
      <c r="E10" s="191">
        <f>SUM(Investments!$H$31:$H$33)</f>
        <v>1385</v>
      </c>
      <c r="F10" s="191">
        <f>SUM(Investments!$K$31:$K$33)</f>
        <v>7055</v>
      </c>
      <c r="G10" s="192">
        <f>Investments!K12</f>
        <v>8.09E-2</v>
      </c>
    </row>
    <row r="13" spans="2:19" ht="15" thickBot="1" x14ac:dyDescent="0.4">
      <c r="C13" s="1" t="s">
        <v>289</v>
      </c>
      <c r="D13" s="1"/>
      <c r="E13" s="1"/>
      <c r="F13" s="1"/>
      <c r="G13" s="1"/>
      <c r="H13" s="1"/>
      <c r="I13" s="1"/>
      <c r="J13" s="1"/>
      <c r="K13" s="1"/>
      <c r="L13" s="1"/>
      <c r="M13" s="1"/>
      <c r="N13" s="1"/>
      <c r="O13" s="1"/>
      <c r="P13" s="1"/>
      <c r="Q13" s="1"/>
      <c r="R13" s="1"/>
      <c r="S13" s="1"/>
    </row>
    <row r="15" spans="2:19" x14ac:dyDescent="0.35">
      <c r="C15" s="72" t="s">
        <v>290</v>
      </c>
    </row>
    <row r="17" spans="3:19" x14ac:dyDescent="0.35">
      <c r="C17" s="143"/>
      <c r="D17" s="143"/>
      <c r="E17" s="96">
        <v>2021</v>
      </c>
      <c r="F17" s="96">
        <v>2030</v>
      </c>
      <c r="G17" s="96">
        <v>2040</v>
      </c>
      <c r="H17" s="96">
        <v>2050</v>
      </c>
    </row>
    <row r="18" spans="3:19" x14ac:dyDescent="0.35">
      <c r="C18" t="s">
        <v>67</v>
      </c>
      <c r="D18" t="s">
        <v>293</v>
      </c>
      <c r="E18" s="187">
        <v>5.024</v>
      </c>
      <c r="F18" s="187">
        <v>3.5445000000000002</v>
      </c>
      <c r="G18" s="187">
        <v>1.9624999999999999</v>
      </c>
      <c r="H18" s="187">
        <v>1.5083329999999999</v>
      </c>
    </row>
    <row r="19" spans="3:19" x14ac:dyDescent="0.35">
      <c r="C19" t="s">
        <v>68</v>
      </c>
      <c r="D19" t="s">
        <v>293</v>
      </c>
      <c r="E19" s="187">
        <v>7.7</v>
      </c>
      <c r="F19" s="187">
        <v>8.0377100000000006</v>
      </c>
      <c r="G19" s="187">
        <v>5.3804220000000003</v>
      </c>
      <c r="H19" s="187">
        <v>3.017833</v>
      </c>
    </row>
    <row r="20" spans="3:19" x14ac:dyDescent="0.35">
      <c r="C20" t="s">
        <v>69</v>
      </c>
      <c r="D20" t="s">
        <v>293</v>
      </c>
      <c r="E20" s="187">
        <v>24</v>
      </c>
      <c r="F20" s="187">
        <v>17.069199999999999</v>
      </c>
      <c r="G20" s="187">
        <v>11.89133</v>
      </c>
      <c r="H20" s="187">
        <v>9.624689</v>
      </c>
    </row>
    <row r="21" spans="3:19" x14ac:dyDescent="0.35">
      <c r="C21" t="s">
        <v>231</v>
      </c>
      <c r="D21" t="s">
        <v>293</v>
      </c>
      <c r="E21" s="187">
        <v>24.952000000000002</v>
      </c>
      <c r="F21" s="187">
        <v>15.737500000000001</v>
      </c>
      <c r="G21" s="187">
        <v>8.6280000000000001</v>
      </c>
      <c r="H21" s="187">
        <v>4.7140000000000004</v>
      </c>
    </row>
    <row r="23" spans="3:19" ht="15" thickBot="1" x14ac:dyDescent="0.4">
      <c r="C23" s="1" t="s">
        <v>249</v>
      </c>
      <c r="D23" s="1"/>
      <c r="E23" s="1"/>
      <c r="F23" s="1"/>
      <c r="G23" s="1"/>
      <c r="H23" s="1"/>
      <c r="I23" s="1"/>
      <c r="J23" s="1"/>
      <c r="K23" s="1"/>
      <c r="L23" s="1"/>
      <c r="M23" s="1"/>
      <c r="N23" s="1"/>
      <c r="O23" s="1"/>
      <c r="P23" s="1"/>
      <c r="Q23" s="1"/>
      <c r="R23" s="1"/>
      <c r="S23" s="1"/>
    </row>
    <row r="25" spans="3:19" s="99" customFormat="1" ht="13.5" x14ac:dyDescent="0.35">
      <c r="D25" s="142" t="s">
        <v>287</v>
      </c>
      <c r="E25" s="142"/>
      <c r="F25" s="142"/>
      <c r="G25" s="142"/>
      <c r="H25" s="142"/>
      <c r="I25" s="142"/>
      <c r="J25" s="142"/>
      <c r="K25" s="142"/>
      <c r="L25" s="142"/>
      <c r="M25" s="142"/>
      <c r="N25" s="142"/>
      <c r="O25" s="142"/>
      <c r="P25" s="142"/>
      <c r="Q25" s="142"/>
      <c r="R25" s="142"/>
      <c r="S25" s="142"/>
    </row>
    <row r="27" spans="3:19" x14ac:dyDescent="0.35">
      <c r="C27" s="9" t="s">
        <v>67</v>
      </c>
      <c r="D27" t="s">
        <v>291</v>
      </c>
      <c r="E27" s="186">
        <f>E7</f>
        <v>763.52</v>
      </c>
    </row>
    <row r="28" spans="3:19" x14ac:dyDescent="0.35">
      <c r="C28" s="9" t="s">
        <v>68</v>
      </c>
      <c r="D28" t="s">
        <v>291</v>
      </c>
      <c r="E28" s="186">
        <f>E8</f>
        <v>1899.7</v>
      </c>
    </row>
    <row r="29" spans="3:19" x14ac:dyDescent="0.35">
      <c r="C29" s="9" t="s">
        <v>69</v>
      </c>
      <c r="D29" t="s">
        <v>291</v>
      </c>
      <c r="E29" s="186">
        <f>E9</f>
        <v>3461.2</v>
      </c>
    </row>
    <row r="30" spans="3:19" x14ac:dyDescent="0.35">
      <c r="C30" s="9" t="s">
        <v>70</v>
      </c>
      <c r="D30" t="s">
        <v>291</v>
      </c>
      <c r="E30" s="186">
        <f>E10</f>
        <v>1385</v>
      </c>
      <c r="H30" s="185"/>
    </row>
    <row r="31" spans="3:19" x14ac:dyDescent="0.35">
      <c r="C31" s="249" t="s">
        <v>283</v>
      </c>
      <c r="D31" t="s">
        <v>284</v>
      </c>
      <c r="E31" s="14">
        <v>2020</v>
      </c>
    </row>
    <row r="32" spans="3:19" x14ac:dyDescent="0.35">
      <c r="C32" s="249"/>
      <c r="D32" t="s">
        <v>285</v>
      </c>
      <c r="E32" s="14">
        <v>2050</v>
      </c>
    </row>
    <row r="33" spans="3:34" x14ac:dyDescent="0.35">
      <c r="C33" s="249"/>
      <c r="D33" t="s">
        <v>292</v>
      </c>
      <c r="E33" s="119">
        <f>E32-E31</f>
        <v>30</v>
      </c>
    </row>
    <row r="35" spans="3:34" x14ac:dyDescent="0.35">
      <c r="E35" s="147">
        <v>2021</v>
      </c>
      <c r="F35" s="147">
        <v>2022</v>
      </c>
      <c r="G35" s="147">
        <v>2023</v>
      </c>
      <c r="H35" s="147">
        <v>2024</v>
      </c>
      <c r="I35" s="147">
        <v>2025</v>
      </c>
      <c r="J35" s="147">
        <v>2026</v>
      </c>
      <c r="K35" s="147">
        <v>2027</v>
      </c>
      <c r="L35" s="147">
        <v>2028</v>
      </c>
      <c r="M35" s="147">
        <v>2029</v>
      </c>
      <c r="N35" s="147">
        <v>2030</v>
      </c>
      <c r="O35" s="147">
        <v>2031</v>
      </c>
      <c r="P35" s="147">
        <v>2032</v>
      </c>
      <c r="Q35" s="147">
        <v>2033</v>
      </c>
      <c r="R35" s="147">
        <v>2034</v>
      </c>
      <c r="S35" s="147">
        <v>2035</v>
      </c>
      <c r="T35" s="147">
        <v>2036</v>
      </c>
      <c r="U35" s="147">
        <v>2037</v>
      </c>
      <c r="V35" s="147">
        <v>2038</v>
      </c>
      <c r="W35" s="147">
        <v>2039</v>
      </c>
      <c r="X35" s="147">
        <v>2040</v>
      </c>
      <c r="Y35" s="147">
        <v>2041</v>
      </c>
      <c r="Z35" s="147">
        <v>2042</v>
      </c>
      <c r="AA35" s="147">
        <v>2043</v>
      </c>
      <c r="AB35" s="147">
        <v>2044</v>
      </c>
      <c r="AC35" s="147">
        <v>2045</v>
      </c>
      <c r="AD35" s="147">
        <v>2046</v>
      </c>
      <c r="AE35" s="147">
        <v>2047</v>
      </c>
      <c r="AF35" s="147">
        <v>2048</v>
      </c>
      <c r="AG35" s="147">
        <v>2049</v>
      </c>
      <c r="AH35" s="147">
        <v>2050</v>
      </c>
    </row>
    <row r="36" spans="3:34" x14ac:dyDescent="0.35">
      <c r="C36" s="9" t="s">
        <v>107</v>
      </c>
      <c r="D36" s="9"/>
      <c r="E36" s="9">
        <v>1</v>
      </c>
      <c r="F36" s="9">
        <v>2</v>
      </c>
      <c r="G36" s="9">
        <v>3</v>
      </c>
      <c r="H36" s="9">
        <v>4</v>
      </c>
      <c r="I36" s="9">
        <v>5</v>
      </c>
      <c r="J36" s="9">
        <v>6</v>
      </c>
      <c r="K36" s="9">
        <v>7</v>
      </c>
      <c r="L36" s="9">
        <v>8</v>
      </c>
      <c r="M36" s="9">
        <v>9</v>
      </c>
      <c r="N36" s="9">
        <v>10</v>
      </c>
      <c r="O36" s="9">
        <v>11</v>
      </c>
      <c r="P36" s="9">
        <v>12</v>
      </c>
      <c r="Q36" s="9">
        <v>13</v>
      </c>
      <c r="R36" s="9">
        <v>14</v>
      </c>
      <c r="S36" s="9">
        <v>15</v>
      </c>
      <c r="T36" s="9">
        <v>16</v>
      </c>
      <c r="U36" s="9">
        <v>17</v>
      </c>
      <c r="V36" s="9">
        <v>18</v>
      </c>
      <c r="W36" s="9">
        <v>19</v>
      </c>
      <c r="X36" s="9">
        <v>20</v>
      </c>
      <c r="Y36" s="9">
        <v>21</v>
      </c>
      <c r="Z36" s="9">
        <v>22</v>
      </c>
      <c r="AA36" s="9">
        <v>23</v>
      </c>
      <c r="AB36" s="9">
        <v>24</v>
      </c>
      <c r="AC36" s="9">
        <v>25</v>
      </c>
      <c r="AD36" s="9">
        <v>26</v>
      </c>
      <c r="AE36" s="9">
        <v>27</v>
      </c>
      <c r="AF36" s="9">
        <v>28</v>
      </c>
      <c r="AG36" s="9">
        <v>29</v>
      </c>
      <c r="AH36" s="9">
        <v>30</v>
      </c>
    </row>
    <row r="37" spans="3:34" x14ac:dyDescent="0.35">
      <c r="C37" s="223" t="s">
        <v>67</v>
      </c>
      <c r="D37" t="s">
        <v>294</v>
      </c>
      <c r="E37" s="153">
        <f>$E$27/$E$33</f>
        <v>25.450666666666667</v>
      </c>
      <c r="F37" s="153">
        <f t="shared" ref="F37:AH37" si="1">$E$27/$E$33</f>
        <v>25.450666666666667</v>
      </c>
      <c r="G37" s="153">
        <f t="shared" si="1"/>
        <v>25.450666666666667</v>
      </c>
      <c r="H37" s="153">
        <f t="shared" si="1"/>
        <v>25.450666666666667</v>
      </c>
      <c r="I37" s="153">
        <f t="shared" si="1"/>
        <v>25.450666666666667</v>
      </c>
      <c r="J37" s="153">
        <f t="shared" si="1"/>
        <v>25.450666666666667</v>
      </c>
      <c r="K37" s="153">
        <f t="shared" si="1"/>
        <v>25.450666666666667</v>
      </c>
      <c r="L37" s="153">
        <f t="shared" si="1"/>
        <v>25.450666666666667</v>
      </c>
      <c r="M37" s="153">
        <f t="shared" si="1"/>
        <v>25.450666666666667</v>
      </c>
      <c r="N37" s="153">
        <f t="shared" si="1"/>
        <v>25.450666666666667</v>
      </c>
      <c r="O37" s="153">
        <f t="shared" si="1"/>
        <v>25.450666666666667</v>
      </c>
      <c r="P37" s="153">
        <f t="shared" si="1"/>
        <v>25.450666666666667</v>
      </c>
      <c r="Q37" s="153">
        <f t="shared" si="1"/>
        <v>25.450666666666667</v>
      </c>
      <c r="R37" s="153">
        <f t="shared" si="1"/>
        <v>25.450666666666667</v>
      </c>
      <c r="S37" s="153">
        <f t="shared" si="1"/>
        <v>25.450666666666667</v>
      </c>
      <c r="T37" s="153">
        <f t="shared" si="1"/>
        <v>25.450666666666667</v>
      </c>
      <c r="U37" s="153">
        <f t="shared" si="1"/>
        <v>25.450666666666667</v>
      </c>
      <c r="V37" s="153">
        <f t="shared" si="1"/>
        <v>25.450666666666667</v>
      </c>
      <c r="W37" s="153">
        <f t="shared" si="1"/>
        <v>25.450666666666667</v>
      </c>
      <c r="X37" s="153">
        <f t="shared" si="1"/>
        <v>25.450666666666667</v>
      </c>
      <c r="Y37" s="153">
        <f t="shared" si="1"/>
        <v>25.450666666666667</v>
      </c>
      <c r="Z37" s="153">
        <f t="shared" si="1"/>
        <v>25.450666666666667</v>
      </c>
      <c r="AA37" s="153">
        <f t="shared" si="1"/>
        <v>25.450666666666667</v>
      </c>
      <c r="AB37" s="153">
        <f t="shared" si="1"/>
        <v>25.450666666666667</v>
      </c>
      <c r="AC37" s="153">
        <f t="shared" si="1"/>
        <v>25.450666666666667</v>
      </c>
      <c r="AD37" s="153">
        <f t="shared" si="1"/>
        <v>25.450666666666667</v>
      </c>
      <c r="AE37" s="153">
        <f t="shared" si="1"/>
        <v>25.450666666666667</v>
      </c>
      <c r="AF37" s="153">
        <f t="shared" si="1"/>
        <v>25.450666666666667</v>
      </c>
      <c r="AG37" s="153">
        <f t="shared" si="1"/>
        <v>25.450666666666667</v>
      </c>
      <c r="AH37" s="153">
        <f t="shared" si="1"/>
        <v>25.450666666666667</v>
      </c>
    </row>
    <row r="38" spans="3:34" x14ac:dyDescent="0.35">
      <c r="C38" s="223"/>
      <c r="D38" t="s">
        <v>295</v>
      </c>
      <c r="E38" s="154">
        <f>$E$27-E37</f>
        <v>738.06933333333336</v>
      </c>
      <c r="F38" s="154">
        <f>E38-F37</f>
        <v>712.61866666666674</v>
      </c>
      <c r="G38" s="154">
        <f t="shared" ref="G38:AH38" si="2">F38-G37</f>
        <v>687.16800000000012</v>
      </c>
      <c r="H38" s="154">
        <f t="shared" si="2"/>
        <v>661.7173333333335</v>
      </c>
      <c r="I38" s="154">
        <f t="shared" si="2"/>
        <v>636.26666666666688</v>
      </c>
      <c r="J38" s="154">
        <f t="shared" si="2"/>
        <v>610.81600000000026</v>
      </c>
      <c r="K38" s="154">
        <f t="shared" si="2"/>
        <v>585.36533333333364</v>
      </c>
      <c r="L38" s="154">
        <f t="shared" si="2"/>
        <v>559.91466666666702</v>
      </c>
      <c r="M38" s="154">
        <f t="shared" si="2"/>
        <v>534.4640000000004</v>
      </c>
      <c r="N38" s="154">
        <f t="shared" si="2"/>
        <v>509.01333333333372</v>
      </c>
      <c r="O38" s="154">
        <f t="shared" si="2"/>
        <v>483.56266666666704</v>
      </c>
      <c r="P38" s="154">
        <f t="shared" si="2"/>
        <v>458.11200000000036</v>
      </c>
      <c r="Q38" s="154">
        <f t="shared" si="2"/>
        <v>432.66133333333369</v>
      </c>
      <c r="R38" s="154">
        <f t="shared" si="2"/>
        <v>407.21066666666701</v>
      </c>
      <c r="S38" s="154">
        <f t="shared" si="2"/>
        <v>381.76000000000033</v>
      </c>
      <c r="T38" s="154">
        <f t="shared" si="2"/>
        <v>356.30933333333365</v>
      </c>
      <c r="U38" s="154">
        <f t="shared" si="2"/>
        <v>330.85866666666698</v>
      </c>
      <c r="V38" s="154">
        <f t="shared" si="2"/>
        <v>305.4080000000003</v>
      </c>
      <c r="W38" s="154">
        <f t="shared" si="2"/>
        <v>279.95733333333362</v>
      </c>
      <c r="X38" s="154">
        <f t="shared" si="2"/>
        <v>254.50666666666694</v>
      </c>
      <c r="Y38" s="154">
        <f t="shared" si="2"/>
        <v>229.05600000000027</v>
      </c>
      <c r="Z38" s="154">
        <f t="shared" si="2"/>
        <v>203.60533333333359</v>
      </c>
      <c r="AA38" s="154">
        <f t="shared" si="2"/>
        <v>178.15466666666691</v>
      </c>
      <c r="AB38" s="154">
        <f t="shared" si="2"/>
        <v>152.70400000000024</v>
      </c>
      <c r="AC38" s="154">
        <f t="shared" si="2"/>
        <v>127.25333333333357</v>
      </c>
      <c r="AD38" s="154">
        <f t="shared" si="2"/>
        <v>101.80266666666691</v>
      </c>
      <c r="AE38" s="154">
        <f t="shared" si="2"/>
        <v>76.352000000000245</v>
      </c>
      <c r="AF38" s="154">
        <f t="shared" si="2"/>
        <v>50.901333333333582</v>
      </c>
      <c r="AG38" s="154">
        <f t="shared" si="2"/>
        <v>25.450666666666915</v>
      </c>
      <c r="AH38" s="154">
        <f t="shared" si="2"/>
        <v>2.4868995751603507E-13</v>
      </c>
    </row>
    <row r="39" spans="3:34" x14ac:dyDescent="0.35">
      <c r="C39" s="223"/>
      <c r="D39" t="s">
        <v>296</v>
      </c>
      <c r="E39" s="153">
        <f>E38*$G$7</f>
        <v>33.951189333333332</v>
      </c>
      <c r="F39" s="153">
        <f t="shared" ref="F39:AH39" si="3">F38*$G$7</f>
        <v>32.780458666666668</v>
      </c>
      <c r="G39" s="153">
        <f t="shared" si="3"/>
        <v>31.609728000000004</v>
      </c>
      <c r="H39" s="153">
        <f t="shared" si="3"/>
        <v>30.43899733333334</v>
      </c>
      <c r="I39" s="153">
        <f t="shared" si="3"/>
        <v>29.268266666666676</v>
      </c>
      <c r="J39" s="153">
        <f t="shared" si="3"/>
        <v>28.097536000000012</v>
      </c>
      <c r="K39" s="153">
        <f t="shared" si="3"/>
        <v>26.926805333333348</v>
      </c>
      <c r="L39" s="153">
        <f t="shared" si="3"/>
        <v>25.756074666666681</v>
      </c>
      <c r="M39" s="153">
        <f t="shared" si="3"/>
        <v>24.585344000000017</v>
      </c>
      <c r="N39" s="153">
        <f t="shared" si="3"/>
        <v>23.414613333333349</v>
      </c>
      <c r="O39" s="153">
        <f t="shared" si="3"/>
        <v>22.243882666666682</v>
      </c>
      <c r="P39" s="153">
        <f t="shared" si="3"/>
        <v>21.073152000000018</v>
      </c>
      <c r="Q39" s="153">
        <f t="shared" si="3"/>
        <v>19.902421333333351</v>
      </c>
      <c r="R39" s="153">
        <f t="shared" si="3"/>
        <v>18.731690666666683</v>
      </c>
      <c r="S39" s="153">
        <f t="shared" si="3"/>
        <v>17.560960000000016</v>
      </c>
      <c r="T39" s="153">
        <f t="shared" si="3"/>
        <v>16.390229333333348</v>
      </c>
      <c r="U39" s="153">
        <f t="shared" si="3"/>
        <v>15.219498666666681</v>
      </c>
      <c r="V39" s="153">
        <f t="shared" si="3"/>
        <v>14.048768000000013</v>
      </c>
      <c r="W39" s="153">
        <f t="shared" si="3"/>
        <v>12.878037333333346</v>
      </c>
      <c r="X39" s="153">
        <f t="shared" si="3"/>
        <v>11.70730666666668</v>
      </c>
      <c r="Y39" s="153">
        <f t="shared" si="3"/>
        <v>10.536576000000013</v>
      </c>
      <c r="Z39" s="153">
        <f t="shared" si="3"/>
        <v>9.3658453333333451</v>
      </c>
      <c r="AA39" s="153">
        <f t="shared" si="3"/>
        <v>8.1951146666666776</v>
      </c>
      <c r="AB39" s="153">
        <f t="shared" si="3"/>
        <v>7.0243840000000111</v>
      </c>
      <c r="AC39" s="153">
        <f t="shared" si="3"/>
        <v>5.8536533333333445</v>
      </c>
      <c r="AD39" s="153">
        <f t="shared" si="3"/>
        <v>4.6829226666666779</v>
      </c>
      <c r="AE39" s="153">
        <f t="shared" si="3"/>
        <v>3.5121920000000113</v>
      </c>
      <c r="AF39" s="153">
        <f t="shared" si="3"/>
        <v>2.3414613333333447</v>
      </c>
      <c r="AG39" s="153">
        <f t="shared" si="3"/>
        <v>1.1707306666666781</v>
      </c>
      <c r="AH39" s="153">
        <f t="shared" si="3"/>
        <v>1.1439738045737612E-14</v>
      </c>
    </row>
    <row r="40" spans="3:34" x14ac:dyDescent="0.35">
      <c r="C40" s="223"/>
      <c r="D40" t="s">
        <v>297</v>
      </c>
      <c r="E40" s="188">
        <f>$E$18*1000000</f>
        <v>5024000</v>
      </c>
      <c r="F40" s="188">
        <f>E40+((($F$18-$E$18)*1000000)/($F$17-$E$17))</f>
        <v>4859611.111111111</v>
      </c>
      <c r="G40" s="188">
        <f t="shared" ref="G40:M40" si="4">F40+((($F$18-$E$18)*1000000)/($F$17-$E$17))</f>
        <v>4695222.222222222</v>
      </c>
      <c r="H40" s="188">
        <f t="shared" si="4"/>
        <v>4530833.333333333</v>
      </c>
      <c r="I40" s="188">
        <f t="shared" si="4"/>
        <v>4366444.444444444</v>
      </c>
      <c r="J40" s="188">
        <f t="shared" si="4"/>
        <v>4202055.555555555</v>
      </c>
      <c r="K40" s="188">
        <f t="shared" si="4"/>
        <v>4037666.666666666</v>
      </c>
      <c r="L40" s="188">
        <f t="shared" si="4"/>
        <v>3873277.7777777771</v>
      </c>
      <c r="M40" s="188">
        <f t="shared" si="4"/>
        <v>3708888.8888888881</v>
      </c>
      <c r="N40" s="188">
        <f>$F$18*1000000</f>
        <v>3544500</v>
      </c>
      <c r="O40" s="188">
        <f>N40+((($G$18-$F$18)*1000000)/($G$17-$F$17))</f>
        <v>3386300</v>
      </c>
      <c r="P40" s="188">
        <f t="shared" ref="P40:W40" si="5">O40+((($G$18-$F$18)*1000000)/($G$17-$F$17))</f>
        <v>3228100</v>
      </c>
      <c r="Q40" s="188">
        <f t="shared" si="5"/>
        <v>3069900</v>
      </c>
      <c r="R40" s="188">
        <f t="shared" si="5"/>
        <v>2911700</v>
      </c>
      <c r="S40" s="188">
        <f t="shared" si="5"/>
        <v>2753500</v>
      </c>
      <c r="T40" s="188">
        <f t="shared" si="5"/>
        <v>2595300</v>
      </c>
      <c r="U40" s="188">
        <f t="shared" si="5"/>
        <v>2437100</v>
      </c>
      <c r="V40" s="188">
        <f t="shared" si="5"/>
        <v>2278900</v>
      </c>
      <c r="W40" s="188">
        <f t="shared" si="5"/>
        <v>2120700</v>
      </c>
      <c r="X40" s="188">
        <f>$G$18*1000000</f>
        <v>1962500</v>
      </c>
      <c r="Y40" s="188">
        <f>X40+((($H$18-$G$18)*1000000)/($H$17-$G$17))</f>
        <v>1917083.3</v>
      </c>
      <c r="Z40" s="188">
        <f t="shared" ref="Z40:AG40" si="6">Y40+((($H$18-$G$18)*1000000)/($H$17-$G$17))</f>
        <v>1871666.6</v>
      </c>
      <c r="AA40" s="188">
        <f t="shared" si="6"/>
        <v>1826249.9000000001</v>
      </c>
      <c r="AB40" s="188">
        <f t="shared" si="6"/>
        <v>1780833.2000000002</v>
      </c>
      <c r="AC40" s="188">
        <f t="shared" si="6"/>
        <v>1735416.5000000002</v>
      </c>
      <c r="AD40" s="188">
        <f t="shared" si="6"/>
        <v>1689999.8000000003</v>
      </c>
      <c r="AE40" s="188">
        <f t="shared" si="6"/>
        <v>1644583.1000000003</v>
      </c>
      <c r="AF40" s="188">
        <f t="shared" si="6"/>
        <v>1599166.4000000004</v>
      </c>
      <c r="AG40" s="188">
        <f t="shared" si="6"/>
        <v>1553749.7000000004</v>
      </c>
      <c r="AH40" s="188">
        <f>$H$18*1000000</f>
        <v>1508333</v>
      </c>
    </row>
    <row r="41" spans="3:34" x14ac:dyDescent="0.35">
      <c r="C41" s="223"/>
      <c r="D41" t="s">
        <v>322</v>
      </c>
      <c r="E41" s="211">
        <f>(E37+E39)/E40</f>
        <v>1.1823617834394904E-5</v>
      </c>
      <c r="F41" s="211">
        <f t="shared" ref="F41:AG41" si="7">(F37+F39)/F40</f>
        <v>1.1982671864461035E-5</v>
      </c>
      <c r="G41" s="211">
        <f t="shared" si="7"/>
        <v>1.2152863478240291E-5</v>
      </c>
      <c r="H41" s="211">
        <f t="shared" si="7"/>
        <v>1.2335404965973886E-5</v>
      </c>
      <c r="I41" s="211">
        <f t="shared" si="7"/>
        <v>1.2531691180212735E-5</v>
      </c>
      <c r="J41" s="211">
        <f t="shared" si="7"/>
        <v>1.2743335245977503E-5</v>
      </c>
      <c r="K41" s="211">
        <f t="shared" si="7"/>
        <v>1.2972212994303646E-5</v>
      </c>
      <c r="L41" s="211">
        <f t="shared" si="7"/>
        <v>1.3220518710824888E-5</v>
      </c>
      <c r="M41" s="211">
        <f t="shared" si="7"/>
        <v>1.3490835710005998E-5</v>
      </c>
      <c r="N41" s="211">
        <f t="shared" si="7"/>
        <v>1.378622654817323E-5</v>
      </c>
      <c r="O41" s="211">
        <f t="shared" si="7"/>
        <v>1.4084561123743716E-5</v>
      </c>
      <c r="P41" s="211">
        <f t="shared" si="7"/>
        <v>1.4412136757432137E-5</v>
      </c>
      <c r="Q41" s="211">
        <f t="shared" si="7"/>
        <v>1.4773474054529468E-5</v>
      </c>
      <c r="R41" s="211">
        <f t="shared" si="7"/>
        <v>1.517407608384564E-5</v>
      </c>
      <c r="S41" s="211">
        <f t="shared" si="7"/>
        <v>1.5620710610737855E-5</v>
      </c>
      <c r="T41" s="211">
        <f t="shared" si="7"/>
        <v>1.6121795553500566E-5</v>
      </c>
      <c r="U41" s="211">
        <f t="shared" si="7"/>
        <v>1.6687934567040067E-5</v>
      </c>
      <c r="V41" s="211">
        <f t="shared" si="7"/>
        <v>1.7332675706115531E-5</v>
      </c>
      <c r="W41" s="211">
        <f t="shared" si="7"/>
        <v>1.8073609657188673E-5</v>
      </c>
      <c r="X41" s="211">
        <f t="shared" si="7"/>
        <v>1.8933999150743105E-5</v>
      </c>
      <c r="Y41" s="211">
        <f t="shared" si="7"/>
        <v>1.8771872180341188E-5</v>
      </c>
      <c r="Z41" s="211">
        <f t="shared" si="7"/>
        <v>1.8601877065071317E-5</v>
      </c>
      <c r="AA41" s="211">
        <f t="shared" si="7"/>
        <v>1.8423426790240122E-5</v>
      </c>
      <c r="AB41" s="211">
        <f t="shared" si="7"/>
        <v>1.8235874458465102E-5</v>
      </c>
      <c r="AC41" s="211">
        <f t="shared" si="7"/>
        <v>1.8038505453878079E-5</v>
      </c>
      <c r="AD41" s="211">
        <f t="shared" si="7"/>
        <v>1.7830528342863319E-5</v>
      </c>
      <c r="AE41" s="211">
        <f t="shared" si="7"/>
        <v>1.7611064267087916E-5</v>
      </c>
      <c r="AF41" s="211">
        <f t="shared" si="7"/>
        <v>1.7379134529089658E-5</v>
      </c>
      <c r="AG41" s="211">
        <f t="shared" si="7"/>
        <v>1.7133646000596708E-5</v>
      </c>
      <c r="AH41" s="211">
        <f>(AH37+AH39)/AH40</f>
        <v>1.6873373894668271E-5</v>
      </c>
    </row>
    <row r="42" spans="3:34" x14ac:dyDescent="0.35">
      <c r="C42" s="223" t="s">
        <v>68</v>
      </c>
      <c r="D42" t="s">
        <v>294</v>
      </c>
      <c r="E42" s="153">
        <f t="shared" ref="E42:AH42" si="8">$E$28/$E$33</f>
        <v>63.323333333333338</v>
      </c>
      <c r="F42" s="153">
        <f t="shared" si="8"/>
        <v>63.323333333333338</v>
      </c>
      <c r="G42" s="153">
        <f t="shared" si="8"/>
        <v>63.323333333333338</v>
      </c>
      <c r="H42" s="153">
        <f t="shared" si="8"/>
        <v>63.323333333333338</v>
      </c>
      <c r="I42" s="153">
        <f t="shared" si="8"/>
        <v>63.323333333333338</v>
      </c>
      <c r="J42" s="153">
        <f t="shared" si="8"/>
        <v>63.323333333333338</v>
      </c>
      <c r="K42" s="153">
        <f t="shared" si="8"/>
        <v>63.323333333333338</v>
      </c>
      <c r="L42" s="153">
        <f t="shared" si="8"/>
        <v>63.323333333333338</v>
      </c>
      <c r="M42" s="153">
        <f t="shared" si="8"/>
        <v>63.323333333333338</v>
      </c>
      <c r="N42" s="153">
        <f t="shared" si="8"/>
        <v>63.323333333333338</v>
      </c>
      <c r="O42" s="153">
        <f t="shared" si="8"/>
        <v>63.323333333333338</v>
      </c>
      <c r="P42" s="153">
        <f t="shared" si="8"/>
        <v>63.323333333333338</v>
      </c>
      <c r="Q42" s="153">
        <f t="shared" si="8"/>
        <v>63.323333333333338</v>
      </c>
      <c r="R42" s="153">
        <f t="shared" si="8"/>
        <v>63.323333333333338</v>
      </c>
      <c r="S42" s="153">
        <f t="shared" si="8"/>
        <v>63.323333333333338</v>
      </c>
      <c r="T42" s="153">
        <f t="shared" si="8"/>
        <v>63.323333333333338</v>
      </c>
      <c r="U42" s="153">
        <f t="shared" si="8"/>
        <v>63.323333333333338</v>
      </c>
      <c r="V42" s="153">
        <f t="shared" si="8"/>
        <v>63.323333333333338</v>
      </c>
      <c r="W42" s="153">
        <f t="shared" si="8"/>
        <v>63.323333333333338</v>
      </c>
      <c r="X42" s="153">
        <f t="shared" si="8"/>
        <v>63.323333333333338</v>
      </c>
      <c r="Y42" s="153">
        <f t="shared" si="8"/>
        <v>63.323333333333338</v>
      </c>
      <c r="Z42" s="153">
        <f t="shared" si="8"/>
        <v>63.323333333333338</v>
      </c>
      <c r="AA42" s="153">
        <f t="shared" si="8"/>
        <v>63.323333333333338</v>
      </c>
      <c r="AB42" s="153">
        <f t="shared" si="8"/>
        <v>63.323333333333338</v>
      </c>
      <c r="AC42" s="153">
        <f t="shared" si="8"/>
        <v>63.323333333333338</v>
      </c>
      <c r="AD42" s="153">
        <f t="shared" si="8"/>
        <v>63.323333333333338</v>
      </c>
      <c r="AE42" s="153">
        <f t="shared" si="8"/>
        <v>63.323333333333338</v>
      </c>
      <c r="AF42" s="153">
        <f t="shared" si="8"/>
        <v>63.323333333333338</v>
      </c>
      <c r="AG42" s="153">
        <f t="shared" si="8"/>
        <v>63.323333333333338</v>
      </c>
      <c r="AH42" s="153">
        <f t="shared" si="8"/>
        <v>63.323333333333338</v>
      </c>
    </row>
    <row r="43" spans="3:34" x14ac:dyDescent="0.35">
      <c r="C43" s="223"/>
      <c r="D43" t="s">
        <v>295</v>
      </c>
      <c r="E43" s="154">
        <f>$E$28-E42</f>
        <v>1836.3766666666668</v>
      </c>
      <c r="F43" s="154">
        <f>E43-F42</f>
        <v>1773.0533333333335</v>
      </c>
      <c r="G43" s="154">
        <f>F43-G42</f>
        <v>1709.7300000000002</v>
      </c>
      <c r="H43" s="154">
        <f>G43-H42</f>
        <v>1646.406666666667</v>
      </c>
      <c r="I43" s="154">
        <f t="shared" ref="I43:AG43" si="9">H43-I42</f>
        <v>1583.0833333333337</v>
      </c>
      <c r="J43" s="154">
        <f t="shared" si="9"/>
        <v>1519.7600000000004</v>
      </c>
      <c r="K43" s="154">
        <f t="shared" si="9"/>
        <v>1456.4366666666672</v>
      </c>
      <c r="L43" s="154">
        <f t="shared" si="9"/>
        <v>1393.1133333333339</v>
      </c>
      <c r="M43" s="154">
        <f t="shared" si="9"/>
        <v>1329.7900000000006</v>
      </c>
      <c r="N43" s="154">
        <f t="shared" si="9"/>
        <v>1266.4666666666674</v>
      </c>
      <c r="O43" s="154">
        <f t="shared" si="9"/>
        <v>1203.1433333333341</v>
      </c>
      <c r="P43" s="154">
        <f t="shared" si="9"/>
        <v>1139.8200000000008</v>
      </c>
      <c r="Q43" s="154">
        <f t="shared" si="9"/>
        <v>1076.4966666666676</v>
      </c>
      <c r="R43" s="154">
        <f t="shared" si="9"/>
        <v>1013.1733333333342</v>
      </c>
      <c r="S43" s="154">
        <f t="shared" si="9"/>
        <v>949.85000000000082</v>
      </c>
      <c r="T43" s="154">
        <f t="shared" si="9"/>
        <v>886.52666666666744</v>
      </c>
      <c r="U43" s="154">
        <f t="shared" si="9"/>
        <v>823.20333333333406</v>
      </c>
      <c r="V43" s="154">
        <f t="shared" si="9"/>
        <v>759.88000000000068</v>
      </c>
      <c r="W43" s="154">
        <f t="shared" si="9"/>
        <v>696.5566666666673</v>
      </c>
      <c r="X43" s="154">
        <f t="shared" si="9"/>
        <v>633.23333333333392</v>
      </c>
      <c r="Y43" s="154">
        <f t="shared" si="9"/>
        <v>569.91000000000054</v>
      </c>
      <c r="Z43" s="154">
        <f t="shared" si="9"/>
        <v>506.58666666666721</v>
      </c>
      <c r="AA43" s="154">
        <f t="shared" si="9"/>
        <v>443.26333333333389</v>
      </c>
      <c r="AB43" s="154">
        <f t="shared" si="9"/>
        <v>379.94000000000057</v>
      </c>
      <c r="AC43" s="154">
        <f t="shared" si="9"/>
        <v>316.61666666666724</v>
      </c>
      <c r="AD43" s="154">
        <f t="shared" si="9"/>
        <v>253.29333333333392</v>
      </c>
      <c r="AE43" s="154">
        <f t="shared" si="9"/>
        <v>189.9700000000006</v>
      </c>
      <c r="AF43" s="154">
        <f t="shared" si="9"/>
        <v>126.64666666666726</v>
      </c>
      <c r="AG43" s="154">
        <f t="shared" si="9"/>
        <v>63.32333333333392</v>
      </c>
      <c r="AH43" s="154">
        <f>AG43-AH42</f>
        <v>5.8264504332328215E-13</v>
      </c>
    </row>
    <row r="44" spans="3:34" x14ac:dyDescent="0.35">
      <c r="C44" s="223"/>
      <c r="D44" t="s">
        <v>286</v>
      </c>
      <c r="E44" s="153">
        <f>E43*$G$8</f>
        <v>125.05725099999999</v>
      </c>
      <c r="F44" s="153">
        <f>F43*$G$8</f>
        <v>120.74493200000001</v>
      </c>
      <c r="G44" s="153">
        <f t="shared" ref="G44:AH44" si="10">G43*$G$8</f>
        <v>116.432613</v>
      </c>
      <c r="H44" s="153">
        <f t="shared" si="10"/>
        <v>112.12029400000002</v>
      </c>
      <c r="I44" s="153">
        <f t="shared" si="10"/>
        <v>107.80797500000001</v>
      </c>
      <c r="J44" s="153">
        <f t="shared" si="10"/>
        <v>103.49565600000003</v>
      </c>
      <c r="K44" s="153">
        <f t="shared" si="10"/>
        <v>99.183337000000023</v>
      </c>
      <c r="L44" s="153">
        <f t="shared" si="10"/>
        <v>94.871018000000035</v>
      </c>
      <c r="M44" s="153">
        <f t="shared" si="10"/>
        <v>90.558699000000033</v>
      </c>
      <c r="N44" s="153">
        <f t="shared" si="10"/>
        <v>86.246380000000045</v>
      </c>
      <c r="O44" s="153">
        <f t="shared" si="10"/>
        <v>81.934061000000042</v>
      </c>
      <c r="P44" s="153">
        <f t="shared" si="10"/>
        <v>77.621742000000054</v>
      </c>
      <c r="Q44" s="153">
        <f t="shared" si="10"/>
        <v>73.309423000000052</v>
      </c>
      <c r="R44" s="153">
        <f t="shared" si="10"/>
        <v>68.99710400000005</v>
      </c>
      <c r="S44" s="153">
        <f t="shared" si="10"/>
        <v>64.684785000000048</v>
      </c>
      <c r="T44" s="153">
        <f t="shared" si="10"/>
        <v>60.372466000000045</v>
      </c>
      <c r="U44" s="153">
        <f t="shared" si="10"/>
        <v>56.060147000000043</v>
      </c>
      <c r="V44" s="153">
        <f t="shared" si="10"/>
        <v>51.747828000000041</v>
      </c>
      <c r="W44" s="153">
        <f t="shared" si="10"/>
        <v>47.435509000000039</v>
      </c>
      <c r="X44" s="153">
        <f t="shared" si="10"/>
        <v>43.123190000000037</v>
      </c>
      <c r="Y44" s="153">
        <f t="shared" si="10"/>
        <v>38.810871000000034</v>
      </c>
      <c r="Z44" s="153">
        <f t="shared" si="10"/>
        <v>34.498552000000032</v>
      </c>
      <c r="AA44" s="153">
        <f t="shared" si="10"/>
        <v>30.186233000000033</v>
      </c>
      <c r="AB44" s="153">
        <f t="shared" si="10"/>
        <v>25.873914000000035</v>
      </c>
      <c r="AC44" s="153">
        <f t="shared" si="10"/>
        <v>21.561595000000036</v>
      </c>
      <c r="AD44" s="153">
        <f t="shared" si="10"/>
        <v>17.249276000000037</v>
      </c>
      <c r="AE44" s="153">
        <f t="shared" si="10"/>
        <v>12.936957000000039</v>
      </c>
      <c r="AF44" s="153">
        <f t="shared" si="10"/>
        <v>8.62463800000004</v>
      </c>
      <c r="AG44" s="153">
        <f t="shared" si="10"/>
        <v>4.3123190000000395</v>
      </c>
      <c r="AH44" s="153">
        <f t="shared" si="10"/>
        <v>3.9678127450315509E-14</v>
      </c>
    </row>
    <row r="45" spans="3:34" x14ac:dyDescent="0.35">
      <c r="C45" s="223"/>
      <c r="D45" t="s">
        <v>297</v>
      </c>
      <c r="E45" s="188">
        <f>$E$19*1000000</f>
        <v>7700000</v>
      </c>
      <c r="F45" s="188">
        <f>E45+((($F$19-$E$19)*1000000)/($F$17-$E$17))</f>
        <v>7737523.333333333</v>
      </c>
      <c r="G45" s="188">
        <f t="shared" ref="G45:M45" si="11">F45+((($F$19-$E$19)*1000000)/($F$17-$E$17))</f>
        <v>7775046.666666666</v>
      </c>
      <c r="H45" s="188">
        <f t="shared" si="11"/>
        <v>7812569.9999999991</v>
      </c>
      <c r="I45" s="188">
        <f t="shared" si="11"/>
        <v>7850093.3333333321</v>
      </c>
      <c r="J45" s="188">
        <f t="shared" si="11"/>
        <v>7887616.6666666651</v>
      </c>
      <c r="K45" s="188">
        <f t="shared" si="11"/>
        <v>7925139.9999999981</v>
      </c>
      <c r="L45" s="188">
        <f t="shared" si="11"/>
        <v>7962663.3333333312</v>
      </c>
      <c r="M45" s="188">
        <f t="shared" si="11"/>
        <v>8000186.6666666642</v>
      </c>
      <c r="N45" s="188">
        <f>$F$19*1000000</f>
        <v>8037710.0000000009</v>
      </c>
      <c r="O45" s="188">
        <f>N45+((($G$19-$F$19)*1000000)/($G$17-$F$17))</f>
        <v>7771981.2000000011</v>
      </c>
      <c r="P45" s="188">
        <f t="shared" ref="P45:W45" si="12">O45+((($G$19-$F$19)*1000000)/($G$17-$F$17))</f>
        <v>7506252.4000000013</v>
      </c>
      <c r="Q45" s="188">
        <f t="shared" si="12"/>
        <v>7240523.6000000015</v>
      </c>
      <c r="R45" s="188">
        <f t="shared" si="12"/>
        <v>6974794.8000000017</v>
      </c>
      <c r="S45" s="188">
        <f t="shared" si="12"/>
        <v>6709066.0000000019</v>
      </c>
      <c r="T45" s="188">
        <f t="shared" si="12"/>
        <v>6443337.200000002</v>
      </c>
      <c r="U45" s="188">
        <f t="shared" si="12"/>
        <v>6177608.4000000022</v>
      </c>
      <c r="V45" s="188">
        <f t="shared" si="12"/>
        <v>5911879.6000000024</v>
      </c>
      <c r="W45" s="188">
        <f t="shared" si="12"/>
        <v>5646150.8000000026</v>
      </c>
      <c r="X45" s="188">
        <f>$G$19*1000000</f>
        <v>5380422</v>
      </c>
      <c r="Y45" s="188">
        <f>X45+((($H$19-$G$19)*1000000)/($H$17-$G$17))</f>
        <v>5144163.0999999996</v>
      </c>
      <c r="Z45" s="188">
        <f t="shared" ref="Z45:AG45" si="13">Y45+((($H$19-$G$19)*1000000)/($H$17-$G$17))</f>
        <v>4907904.1999999993</v>
      </c>
      <c r="AA45" s="188">
        <f t="shared" si="13"/>
        <v>4671645.2999999989</v>
      </c>
      <c r="AB45" s="188">
        <f t="shared" si="13"/>
        <v>4435386.3999999985</v>
      </c>
      <c r="AC45" s="188">
        <f t="shared" si="13"/>
        <v>4199127.4999999981</v>
      </c>
      <c r="AD45" s="188">
        <f t="shared" si="13"/>
        <v>3962868.5999999982</v>
      </c>
      <c r="AE45" s="188">
        <f t="shared" si="13"/>
        <v>3726609.6999999983</v>
      </c>
      <c r="AF45" s="188">
        <f t="shared" si="13"/>
        <v>3490350.7999999984</v>
      </c>
      <c r="AG45" s="188">
        <f t="shared" si="13"/>
        <v>3254091.8999999985</v>
      </c>
      <c r="AH45" s="188">
        <f>$H$19*1000000</f>
        <v>3017833</v>
      </c>
    </row>
    <row r="46" spans="3:34" x14ac:dyDescent="0.35">
      <c r="C46" s="223"/>
      <c r="D46" t="s">
        <v>322</v>
      </c>
      <c r="E46" s="211">
        <f>(E42+E44)/E45</f>
        <v>2.4465010952380953E-5</v>
      </c>
      <c r="F46" s="211">
        <f t="shared" ref="F46" si="14">(F42+F44)/F45</f>
        <v>2.3789041713175234E-5</v>
      </c>
      <c r="G46" s="211">
        <f t="shared" ref="G46" si="15">(G42+G44)/G45</f>
        <v>2.311959709566588E-5</v>
      </c>
      <c r="H46" s="211">
        <f t="shared" ref="H46" si="16">(H42+H44)/H45</f>
        <v>2.2456583087682206E-5</v>
      </c>
      <c r="I46" s="211">
        <f t="shared" ref="I46" si="17">(I42+I44)/I45</f>
        <v>2.1799907474560817E-5</v>
      </c>
      <c r="J46" s="211">
        <f t="shared" ref="J46" si="18">(J42+J44)/J45</f>
        <v>2.1149479796389709E-5</v>
      </c>
      <c r="K46" s="211">
        <f t="shared" ref="K46" si="19">(K42+K44)/K45</f>
        <v>2.050521130646694E-5</v>
      </c>
      <c r="L46" s="211">
        <f t="shared" ref="L46" si="20">(L42+L44)/L45</f>
        <v>1.9867014930933922E-5</v>
      </c>
      <c r="M46" s="211">
        <f t="shared" ref="M46" si="21">(M42+M44)/M45</f>
        <v>1.9234805229544656E-5</v>
      </c>
      <c r="N46" s="211">
        <f t="shared" ref="N46" si="22">(N42+N44)/N45</f>
        <v>1.8608498357533845E-5</v>
      </c>
      <c r="O46" s="211">
        <f t="shared" ref="O46" si="23">(O42+O44)/O45</f>
        <v>1.8689879786808201E-5</v>
      </c>
      <c r="P46" s="211">
        <f t="shared" ref="P46" si="24">(P42+P44)/P45</f>
        <v>1.877702318314441E-5</v>
      </c>
      <c r="Q46" s="211">
        <f t="shared" ref="Q46" si="25">(Q42+Q44)/Q45</f>
        <v>1.8870562942897302E-5</v>
      </c>
      <c r="R46" s="211">
        <f t="shared" ref="R46" si="26">(R42+R44)/R45</f>
        <v>1.8971230140467124E-5</v>
      </c>
      <c r="S46" s="211">
        <f t="shared" ref="S46" si="27">(S42+S44)/S45</f>
        <v>1.9079871674139642E-5</v>
      </c>
      <c r="T46" s="211">
        <f t="shared" ref="T46" si="28">(T42+T44)/T45</f>
        <v>1.9197474149472319E-5</v>
      </c>
      <c r="U46" s="211">
        <f t="shared" ref="U46" si="29">(U42+U44)/U45</f>
        <v>1.9325193926719818E-5</v>
      </c>
      <c r="V46" s="211">
        <f t="shared" ref="V46" si="30">(V42+V44)/V45</f>
        <v>1.9464395271739522E-5</v>
      </c>
      <c r="W46" s="211">
        <f t="shared" ref="W46" si="31">(W42+W44)/W45</f>
        <v>1.9616699280035759E-5</v>
      </c>
      <c r="X46" s="211">
        <f t="shared" ref="X46" si="32">(X42+X44)/X45</f>
        <v>1.9784047298396552E-5</v>
      </c>
      <c r="Y46" s="211">
        <f t="shared" ref="Y46" si="33">(Y42+Y44)/Y45</f>
        <v>1.9854386874578953E-5</v>
      </c>
      <c r="Z46" s="211">
        <f t="shared" ref="Z46" si="34">(Z42+Z44)/Z45</f>
        <v>1.9931498527076665E-5</v>
      </c>
      <c r="AA46" s="211">
        <f t="shared" ref="AA46" si="35">(AA42+AA44)/AA45</f>
        <v>2.0016409707589184E-5</v>
      </c>
      <c r="AB46" s="211">
        <f t="shared" ref="AB46" si="36">(AB42+AB44)/AB45</f>
        <v>2.0110366784128073E-5</v>
      </c>
      <c r="AC46" s="211">
        <f t="shared" ref="AC46" si="37">(AC42+AC44)/AC45</f>
        <v>2.0214896626342834E-5</v>
      </c>
      <c r="AD46" s="211">
        <f t="shared" ref="AD46" si="38">(AD42+AD44)/AD45</f>
        <v>2.033189022046641E-5</v>
      </c>
      <c r="AE46" s="211">
        <f t="shared" ref="AE46" si="39">(AE42+AE44)/AE45</f>
        <v>2.0463718090288181E-5</v>
      </c>
      <c r="AF46" s="211">
        <f t="shared" ref="AF46" si="40">(AF42+AF44)/AF45</f>
        <v>2.0613392594616397E-5</v>
      </c>
      <c r="AG46" s="211">
        <f t="shared" ref="AG46" si="41">(AG42+AG44)/AG45</f>
        <v>2.0784800925054824E-5</v>
      </c>
      <c r="AH46" s="211">
        <f>(AH42+AH44)/AH45</f>
        <v>2.0983047548798553E-5</v>
      </c>
    </row>
    <row r="47" spans="3:34" x14ac:dyDescent="0.35">
      <c r="C47" s="223" t="s">
        <v>69</v>
      </c>
      <c r="D47" t="s">
        <v>294</v>
      </c>
      <c r="E47" s="153">
        <f>$E$29/$E$33</f>
        <v>115.37333333333332</v>
      </c>
      <c r="F47" s="153">
        <f t="shared" ref="F47:AH47" si="42">$E$29/$E$33</f>
        <v>115.37333333333332</v>
      </c>
      <c r="G47" s="153">
        <f t="shared" si="42"/>
        <v>115.37333333333332</v>
      </c>
      <c r="H47" s="153">
        <f t="shared" si="42"/>
        <v>115.37333333333332</v>
      </c>
      <c r="I47" s="153">
        <f t="shared" si="42"/>
        <v>115.37333333333332</v>
      </c>
      <c r="J47" s="153">
        <f t="shared" si="42"/>
        <v>115.37333333333332</v>
      </c>
      <c r="K47" s="153">
        <f t="shared" si="42"/>
        <v>115.37333333333332</v>
      </c>
      <c r="L47" s="153">
        <f t="shared" si="42"/>
        <v>115.37333333333332</v>
      </c>
      <c r="M47" s="153">
        <f t="shared" si="42"/>
        <v>115.37333333333332</v>
      </c>
      <c r="N47" s="153">
        <f t="shared" si="42"/>
        <v>115.37333333333332</v>
      </c>
      <c r="O47" s="153">
        <f t="shared" si="42"/>
        <v>115.37333333333332</v>
      </c>
      <c r="P47" s="153">
        <f t="shared" si="42"/>
        <v>115.37333333333332</v>
      </c>
      <c r="Q47" s="153">
        <f t="shared" si="42"/>
        <v>115.37333333333332</v>
      </c>
      <c r="R47" s="153">
        <f t="shared" si="42"/>
        <v>115.37333333333332</v>
      </c>
      <c r="S47" s="153">
        <f t="shared" si="42"/>
        <v>115.37333333333332</v>
      </c>
      <c r="T47" s="153">
        <f t="shared" si="42"/>
        <v>115.37333333333332</v>
      </c>
      <c r="U47" s="153">
        <f t="shared" si="42"/>
        <v>115.37333333333332</v>
      </c>
      <c r="V47" s="153">
        <f t="shared" si="42"/>
        <v>115.37333333333332</v>
      </c>
      <c r="W47" s="153">
        <f t="shared" si="42"/>
        <v>115.37333333333332</v>
      </c>
      <c r="X47" s="153">
        <f t="shared" si="42"/>
        <v>115.37333333333332</v>
      </c>
      <c r="Y47" s="153">
        <f t="shared" si="42"/>
        <v>115.37333333333332</v>
      </c>
      <c r="Z47" s="153">
        <f t="shared" si="42"/>
        <v>115.37333333333332</v>
      </c>
      <c r="AA47" s="153">
        <f t="shared" si="42"/>
        <v>115.37333333333332</v>
      </c>
      <c r="AB47" s="153">
        <f t="shared" si="42"/>
        <v>115.37333333333332</v>
      </c>
      <c r="AC47" s="153">
        <f t="shared" si="42"/>
        <v>115.37333333333332</v>
      </c>
      <c r="AD47" s="153">
        <f t="shared" si="42"/>
        <v>115.37333333333332</v>
      </c>
      <c r="AE47" s="153">
        <f t="shared" si="42"/>
        <v>115.37333333333332</v>
      </c>
      <c r="AF47" s="153">
        <f t="shared" si="42"/>
        <v>115.37333333333332</v>
      </c>
      <c r="AG47" s="153">
        <f t="shared" si="42"/>
        <v>115.37333333333332</v>
      </c>
      <c r="AH47" s="153">
        <f t="shared" si="42"/>
        <v>115.37333333333332</v>
      </c>
    </row>
    <row r="48" spans="3:34" x14ac:dyDescent="0.35">
      <c r="C48" s="223"/>
      <c r="D48" t="s">
        <v>295</v>
      </c>
      <c r="E48" s="154">
        <f>$E$29-E47</f>
        <v>3345.8266666666664</v>
      </c>
      <c r="F48" s="154">
        <f t="shared" ref="F48:AH48" si="43">E48-F47</f>
        <v>3230.4533333333329</v>
      </c>
      <c r="G48" s="154">
        <f t="shared" si="43"/>
        <v>3115.0799999999995</v>
      </c>
      <c r="H48" s="154">
        <f t="shared" si="43"/>
        <v>2999.706666666666</v>
      </c>
      <c r="I48" s="154">
        <f t="shared" si="43"/>
        <v>2884.3333333333326</v>
      </c>
      <c r="J48" s="154">
        <f t="shared" si="43"/>
        <v>2768.9599999999991</v>
      </c>
      <c r="K48" s="154">
        <f t="shared" si="43"/>
        <v>2653.5866666666657</v>
      </c>
      <c r="L48" s="154">
        <f t="shared" si="43"/>
        <v>2538.2133333333322</v>
      </c>
      <c r="M48" s="154">
        <f t="shared" si="43"/>
        <v>2422.8399999999988</v>
      </c>
      <c r="N48" s="154">
        <f t="shared" si="43"/>
        <v>2307.4666666666653</v>
      </c>
      <c r="O48" s="154">
        <f t="shared" si="43"/>
        <v>2192.0933333333319</v>
      </c>
      <c r="P48" s="154">
        <f t="shared" si="43"/>
        <v>2076.7199999999984</v>
      </c>
      <c r="Q48" s="154">
        <f t="shared" si="43"/>
        <v>1961.3466666666652</v>
      </c>
      <c r="R48" s="154">
        <f t="shared" si="43"/>
        <v>1845.973333333332</v>
      </c>
      <c r="S48" s="154">
        <f t="shared" si="43"/>
        <v>1730.5999999999988</v>
      </c>
      <c r="T48" s="154">
        <f t="shared" si="43"/>
        <v>1615.2266666666656</v>
      </c>
      <c r="U48" s="154">
        <f t="shared" si="43"/>
        <v>1499.8533333333323</v>
      </c>
      <c r="V48" s="154">
        <f t="shared" si="43"/>
        <v>1384.4799999999991</v>
      </c>
      <c r="W48" s="154">
        <f t="shared" si="43"/>
        <v>1269.1066666666659</v>
      </c>
      <c r="X48" s="154">
        <f t="shared" si="43"/>
        <v>1153.7333333333327</v>
      </c>
      <c r="Y48" s="154">
        <f t="shared" si="43"/>
        <v>1038.3599999999994</v>
      </c>
      <c r="Z48" s="154">
        <f t="shared" si="43"/>
        <v>922.98666666666611</v>
      </c>
      <c r="AA48" s="154">
        <f t="shared" si="43"/>
        <v>807.61333333333278</v>
      </c>
      <c r="AB48" s="154">
        <f t="shared" si="43"/>
        <v>692.23999999999944</v>
      </c>
      <c r="AC48" s="154">
        <f t="shared" si="43"/>
        <v>576.86666666666611</v>
      </c>
      <c r="AD48" s="154">
        <f t="shared" si="43"/>
        <v>461.49333333333277</v>
      </c>
      <c r="AE48" s="154">
        <f t="shared" si="43"/>
        <v>346.11999999999944</v>
      </c>
      <c r="AF48" s="154">
        <f t="shared" si="43"/>
        <v>230.7466666666661</v>
      </c>
      <c r="AG48" s="154">
        <f t="shared" si="43"/>
        <v>115.37333333333278</v>
      </c>
      <c r="AH48" s="154">
        <f t="shared" si="43"/>
        <v>-5.4001247917767614E-13</v>
      </c>
    </row>
    <row r="49" spans="3:34" x14ac:dyDescent="0.35">
      <c r="C49" s="223"/>
      <c r="D49" t="s">
        <v>296</v>
      </c>
      <c r="E49" s="153">
        <f>E48*$G$9</f>
        <v>184.35504933333334</v>
      </c>
      <c r="F49" s="153">
        <f t="shared" ref="F49:AH49" si="44">F48*$G$9</f>
        <v>177.99797866666665</v>
      </c>
      <c r="G49" s="153">
        <f t="shared" si="44"/>
        <v>171.64090799999997</v>
      </c>
      <c r="H49" s="153">
        <f t="shared" si="44"/>
        <v>165.28383733333331</v>
      </c>
      <c r="I49" s="153">
        <f t="shared" si="44"/>
        <v>158.92676666666662</v>
      </c>
      <c r="J49" s="153">
        <f t="shared" si="44"/>
        <v>152.56969599999996</v>
      </c>
      <c r="K49" s="153">
        <f t="shared" si="44"/>
        <v>146.21262533333328</v>
      </c>
      <c r="L49" s="153">
        <f t="shared" si="44"/>
        <v>139.85555466666662</v>
      </c>
      <c r="M49" s="153">
        <f t="shared" si="44"/>
        <v>133.49848399999993</v>
      </c>
      <c r="N49" s="153">
        <f t="shared" si="44"/>
        <v>127.14141333333326</v>
      </c>
      <c r="O49" s="153">
        <f t="shared" si="44"/>
        <v>120.78434266666659</v>
      </c>
      <c r="P49" s="153">
        <f t="shared" si="44"/>
        <v>114.42727199999992</v>
      </c>
      <c r="Q49" s="153">
        <f t="shared" si="44"/>
        <v>108.07020133333326</v>
      </c>
      <c r="R49" s="153">
        <f t="shared" si="44"/>
        <v>101.7131306666666</v>
      </c>
      <c r="S49" s="153">
        <f t="shared" si="44"/>
        <v>95.356059999999943</v>
      </c>
      <c r="T49" s="153">
        <f t="shared" si="44"/>
        <v>88.99898933333327</v>
      </c>
      <c r="U49" s="153">
        <f t="shared" si="44"/>
        <v>82.641918666666612</v>
      </c>
      <c r="V49" s="153">
        <f t="shared" si="44"/>
        <v>76.284847999999954</v>
      </c>
      <c r="W49" s="153">
        <f t="shared" si="44"/>
        <v>69.927777333333296</v>
      </c>
      <c r="X49" s="153">
        <f t="shared" si="44"/>
        <v>63.570706666666631</v>
      </c>
      <c r="Y49" s="153">
        <f t="shared" si="44"/>
        <v>57.213635999999973</v>
      </c>
      <c r="Z49" s="153">
        <f t="shared" si="44"/>
        <v>50.856565333333307</v>
      </c>
      <c r="AA49" s="153">
        <f t="shared" si="44"/>
        <v>44.499494666666635</v>
      </c>
      <c r="AB49" s="153">
        <f t="shared" si="44"/>
        <v>38.14242399999997</v>
      </c>
      <c r="AC49" s="153">
        <f t="shared" si="44"/>
        <v>31.785353333333305</v>
      </c>
      <c r="AD49" s="153">
        <f t="shared" si="44"/>
        <v>25.428282666666636</v>
      </c>
      <c r="AE49" s="153">
        <f t="shared" si="44"/>
        <v>19.071211999999971</v>
      </c>
      <c r="AF49" s="153">
        <f t="shared" si="44"/>
        <v>12.714141333333304</v>
      </c>
      <c r="AG49" s="153">
        <f t="shared" si="44"/>
        <v>6.3570706666666368</v>
      </c>
      <c r="AH49" s="153">
        <f t="shared" si="44"/>
        <v>-2.975468760268996E-14</v>
      </c>
    </row>
    <row r="50" spans="3:34" x14ac:dyDescent="0.35">
      <c r="C50" s="223"/>
      <c r="D50" t="s">
        <v>247</v>
      </c>
      <c r="E50" s="188">
        <f>$E$20*1000000</f>
        <v>24000000</v>
      </c>
      <c r="F50" s="188">
        <f>E50+((($F$20-$E$20)*1000000)/($F$17-$E$17))</f>
        <v>23229911.111111112</v>
      </c>
      <c r="G50" s="188">
        <f t="shared" ref="G50:M50" si="45">F50+((($F$20-$E$20)*1000000)/($F$17-$E$17))</f>
        <v>22459822.222222224</v>
      </c>
      <c r="H50" s="188">
        <f t="shared" si="45"/>
        <v>21689733.333333336</v>
      </c>
      <c r="I50" s="188">
        <f t="shared" si="45"/>
        <v>20919644.444444448</v>
      </c>
      <c r="J50" s="188">
        <f t="shared" si="45"/>
        <v>20149555.55555556</v>
      </c>
      <c r="K50" s="188">
        <f t="shared" si="45"/>
        <v>19379466.666666672</v>
      </c>
      <c r="L50" s="188">
        <f t="shared" si="45"/>
        <v>18609377.777777784</v>
      </c>
      <c r="M50" s="188">
        <f t="shared" si="45"/>
        <v>17839288.888888896</v>
      </c>
      <c r="N50" s="188">
        <f>$F$20*1000000</f>
        <v>17069200</v>
      </c>
      <c r="O50" s="188">
        <f>N50+((($G$20-$F$20)*1000000)/($G$17-$F$17))</f>
        <v>16551413</v>
      </c>
      <c r="P50" s="188">
        <f t="shared" ref="P50:W50" si="46">O50+((($G$20-$F$20)*1000000)/($G$17-$F$17))</f>
        <v>16033626</v>
      </c>
      <c r="Q50" s="188">
        <f t="shared" si="46"/>
        <v>15515839</v>
      </c>
      <c r="R50" s="188">
        <f t="shared" si="46"/>
        <v>14998052</v>
      </c>
      <c r="S50" s="188">
        <f t="shared" si="46"/>
        <v>14480265</v>
      </c>
      <c r="T50" s="188">
        <f t="shared" si="46"/>
        <v>13962478</v>
      </c>
      <c r="U50" s="188">
        <f t="shared" si="46"/>
        <v>13444691</v>
      </c>
      <c r="V50" s="188">
        <f t="shared" si="46"/>
        <v>12926904</v>
      </c>
      <c r="W50" s="188">
        <f t="shared" si="46"/>
        <v>12409117</v>
      </c>
      <c r="X50" s="188">
        <f>$G$20*1000000</f>
        <v>11891330</v>
      </c>
      <c r="Y50" s="188">
        <f>X50+((($H$20-$G$20)*1000000)/($H$17-$G$17))</f>
        <v>11664665.9</v>
      </c>
      <c r="Z50" s="188">
        <f t="shared" ref="Z50:AG50" si="47">Y50+((($H$20-$G$20)*1000000)/($H$17-$G$17))</f>
        <v>11438001.800000001</v>
      </c>
      <c r="AA50" s="188">
        <f t="shared" si="47"/>
        <v>11211337.700000001</v>
      </c>
      <c r="AB50" s="188">
        <f t="shared" si="47"/>
        <v>10984673.600000001</v>
      </c>
      <c r="AC50" s="188">
        <f t="shared" si="47"/>
        <v>10758009.500000002</v>
      </c>
      <c r="AD50" s="188">
        <f t="shared" si="47"/>
        <v>10531345.400000002</v>
      </c>
      <c r="AE50" s="188">
        <f t="shared" si="47"/>
        <v>10304681.300000003</v>
      </c>
      <c r="AF50" s="188">
        <f t="shared" si="47"/>
        <v>10078017.200000003</v>
      </c>
      <c r="AG50" s="188">
        <f t="shared" si="47"/>
        <v>9851353.1000000034</v>
      </c>
      <c r="AH50" s="188">
        <f>$H$20*1000000</f>
        <v>9624689</v>
      </c>
    </row>
    <row r="51" spans="3:34" x14ac:dyDescent="0.35">
      <c r="C51" s="223"/>
      <c r="D51" t="s">
        <v>322</v>
      </c>
      <c r="E51" s="211">
        <f>(E47+E49)/E50</f>
        <v>1.2488682611111112E-5</v>
      </c>
      <c r="F51" s="211">
        <f t="shared" ref="F51" si="48">(F47+F49)/F50</f>
        <v>1.2629032913504235E-5</v>
      </c>
      <c r="G51" s="211">
        <f t="shared" ref="G51" si="49">(G47+G49)/G50</f>
        <v>1.2779007709569283E-5</v>
      </c>
      <c r="H51" s="211">
        <f t="shared" ref="H51" si="50">(H47+H49)/H50</f>
        <v>1.2939632145469743E-5</v>
      </c>
      <c r="I51" s="211">
        <f t="shared" ref="I51" si="51">(I47+I49)/I50</f>
        <v>1.3112082317099074E-5</v>
      </c>
      <c r="J51" s="211">
        <f t="shared" ref="J51" si="52">(J47+J49)/J50</f>
        <v>1.3297714115558099E-5</v>
      </c>
      <c r="K51" s="211">
        <f t="shared" ref="K51" si="53">(K47+K49)/K50</f>
        <v>1.34980989500915E-5</v>
      </c>
      <c r="L51" s="211">
        <f t="shared" ref="L51" si="54">(L47+L49)/L50</f>
        <v>1.3715068340693215E-5</v>
      </c>
      <c r="M51" s="211">
        <f t="shared" ref="M51" si="55">(M47+M49)/M50</f>
        <v>1.3950770060590347E-5</v>
      </c>
      <c r="N51" s="211">
        <f t="shared" ref="N51" si="56">(N47+N49)/N50</f>
        <v>1.42077394761715E-5</v>
      </c>
      <c r="O51" s="211">
        <f t="shared" ref="O51" si="57">(O47+O49)/O50</f>
        <v>1.4268127802744087E-5</v>
      </c>
      <c r="P51" s="211">
        <f t="shared" ref="P51" si="58">(P47+P49)/P50</f>
        <v>1.4332416468572564E-5</v>
      </c>
      <c r="Q51" s="211">
        <f t="shared" ref="Q51" si="59">(Q47+Q49)/Q50</f>
        <v>1.4400995954306214E-5</v>
      </c>
      <c r="R51" s="211">
        <f t="shared" ref="R51" si="60">(R47+R49)/R50</f>
        <v>1.4474310663811535E-5</v>
      </c>
      <c r="S51" s="211">
        <f t="shared" ref="S51" si="61">(S47+S49)/S50</f>
        <v>1.4552868565135602E-5</v>
      </c>
      <c r="T51" s="211">
        <f t="shared" ref="T51" si="62">(T47+T49)/T50</f>
        <v>1.4637252976632558E-5</v>
      </c>
      <c r="U51" s="211">
        <f t="shared" ref="U51" si="63">(U47+U49)/U50</f>
        <v>1.4728137076560549E-5</v>
      </c>
      <c r="V51" s="211">
        <f t="shared" ref="V51" si="64">(V47+V49)/V50</f>
        <v>1.4826301899769139E-5</v>
      </c>
      <c r="W51" s="211">
        <f t="shared" ref="W51" si="65">(W47+W49)/W50</f>
        <v>1.4932658840001798E-5</v>
      </c>
      <c r="X51" s="211">
        <f t="shared" ref="X51" si="66">(X47+X49)/X50</f>
        <v>1.5048278031136966E-5</v>
      </c>
      <c r="Y51" s="211">
        <f t="shared" ref="Y51" si="67">(Y47+Y49)/Y50</f>
        <v>1.4795706179062812E-5</v>
      </c>
      <c r="Z51" s="211">
        <f t="shared" ref="Z51" si="68">(Z47+Z49)/Z50</f>
        <v>1.4533124017052229E-5</v>
      </c>
      <c r="AA51" s="211">
        <f t="shared" ref="AA51" si="69">(AA47+AA49)/AA50</f>
        <v>1.4259924397781716E-5</v>
      </c>
      <c r="AB51" s="211">
        <f t="shared" ref="AB51" si="70">(AB47+AB49)/AB50</f>
        <v>1.3975450061013489E-5</v>
      </c>
      <c r="AC51" s="211">
        <f t="shared" ref="AC51" si="71">(AC47+AC49)/AC50</f>
        <v>1.3678988354366726E-5</v>
      </c>
      <c r="AD51" s="211">
        <f t="shared" ref="AD51" si="72">(AD47+AD49)/AD50</f>
        <v>1.3369765272345919E-5</v>
      </c>
      <c r="AE51" s="211">
        <f t="shared" ref="AE51" si="73">(AE47+AE49)/AE50</f>
        <v>1.3046938708655962E-5</v>
      </c>
      <c r="AF51" s="211">
        <f t="shared" ref="AF51" si="74">(AF47+AF49)/AF50</f>
        <v>1.2709590797946504E-5</v>
      </c>
      <c r="AG51" s="211">
        <f t="shared" ref="AG51" si="75">(AG47+AG49)/AG50</f>
        <v>1.2356719200329945E-5</v>
      </c>
      <c r="AH51" s="211">
        <f>(AH47+AH49)/AH50</f>
        <v>1.1987227154387357E-5</v>
      </c>
    </row>
    <row r="52" spans="3:34" x14ac:dyDescent="0.35">
      <c r="C52" s="223" t="s">
        <v>70</v>
      </c>
      <c r="D52" t="s">
        <v>294</v>
      </c>
      <c r="E52" s="153">
        <f>$E$30/$E$33</f>
        <v>46.166666666666664</v>
      </c>
      <c r="F52" s="153">
        <f t="shared" ref="F52:AH52" si="76">$E$30/$E$33</f>
        <v>46.166666666666664</v>
      </c>
      <c r="G52" s="153">
        <f t="shared" si="76"/>
        <v>46.166666666666664</v>
      </c>
      <c r="H52" s="153">
        <f t="shared" si="76"/>
        <v>46.166666666666664</v>
      </c>
      <c r="I52" s="153">
        <f t="shared" si="76"/>
        <v>46.166666666666664</v>
      </c>
      <c r="J52" s="153">
        <f t="shared" si="76"/>
        <v>46.166666666666664</v>
      </c>
      <c r="K52" s="153">
        <f t="shared" si="76"/>
        <v>46.166666666666664</v>
      </c>
      <c r="L52" s="153">
        <f t="shared" si="76"/>
        <v>46.166666666666664</v>
      </c>
      <c r="M52" s="153">
        <f t="shared" si="76"/>
        <v>46.166666666666664</v>
      </c>
      <c r="N52" s="153">
        <f t="shared" si="76"/>
        <v>46.166666666666664</v>
      </c>
      <c r="O52" s="153">
        <f t="shared" si="76"/>
        <v>46.166666666666664</v>
      </c>
      <c r="P52" s="153">
        <f t="shared" si="76"/>
        <v>46.166666666666664</v>
      </c>
      <c r="Q52" s="153">
        <f t="shared" si="76"/>
        <v>46.166666666666664</v>
      </c>
      <c r="R52" s="153">
        <f t="shared" si="76"/>
        <v>46.166666666666664</v>
      </c>
      <c r="S52" s="153">
        <f t="shared" si="76"/>
        <v>46.166666666666664</v>
      </c>
      <c r="T52" s="153">
        <f t="shared" si="76"/>
        <v>46.166666666666664</v>
      </c>
      <c r="U52" s="153">
        <f t="shared" si="76"/>
        <v>46.166666666666664</v>
      </c>
      <c r="V52" s="153">
        <f t="shared" si="76"/>
        <v>46.166666666666664</v>
      </c>
      <c r="W52" s="153">
        <f t="shared" si="76"/>
        <v>46.166666666666664</v>
      </c>
      <c r="X52" s="153">
        <f t="shared" si="76"/>
        <v>46.166666666666664</v>
      </c>
      <c r="Y52" s="153">
        <f t="shared" si="76"/>
        <v>46.166666666666664</v>
      </c>
      <c r="Z52" s="153">
        <f t="shared" si="76"/>
        <v>46.166666666666664</v>
      </c>
      <c r="AA52" s="153">
        <f t="shared" si="76"/>
        <v>46.166666666666664</v>
      </c>
      <c r="AB52" s="153">
        <f t="shared" si="76"/>
        <v>46.166666666666664</v>
      </c>
      <c r="AC52" s="153">
        <f t="shared" si="76"/>
        <v>46.166666666666664</v>
      </c>
      <c r="AD52" s="153">
        <f t="shared" si="76"/>
        <v>46.166666666666664</v>
      </c>
      <c r="AE52" s="153">
        <f t="shared" si="76"/>
        <v>46.166666666666664</v>
      </c>
      <c r="AF52" s="153">
        <f t="shared" si="76"/>
        <v>46.166666666666664</v>
      </c>
      <c r="AG52" s="153">
        <f t="shared" si="76"/>
        <v>46.166666666666664</v>
      </c>
      <c r="AH52" s="153">
        <f t="shared" si="76"/>
        <v>46.166666666666664</v>
      </c>
    </row>
    <row r="53" spans="3:34" x14ac:dyDescent="0.35">
      <c r="C53" s="223"/>
      <c r="D53" t="s">
        <v>295</v>
      </c>
      <c r="E53" s="154">
        <f>$E$30-E52</f>
        <v>1338.8333333333333</v>
      </c>
      <c r="F53" s="154">
        <f>E53-F52</f>
        <v>1292.6666666666665</v>
      </c>
      <c r="G53" s="154">
        <f>F53-G52</f>
        <v>1246.4999999999998</v>
      </c>
      <c r="H53" s="154">
        <f t="shared" ref="H53" si="77">G53-H52</f>
        <v>1200.333333333333</v>
      </c>
      <c r="I53" s="154">
        <f t="shared" ref="I53" si="78">H53-I52</f>
        <v>1154.1666666666663</v>
      </c>
      <c r="J53" s="154">
        <f t="shared" ref="J53" si="79">I53-J52</f>
        <v>1107.9999999999995</v>
      </c>
      <c r="K53" s="154">
        <f t="shared" ref="K53" si="80">J53-K52</f>
        <v>1061.8333333333328</v>
      </c>
      <c r="L53" s="154">
        <f t="shared" ref="L53" si="81">K53-L52</f>
        <v>1015.6666666666662</v>
      </c>
      <c r="M53" s="154">
        <f t="shared" ref="M53" si="82">L53-M52</f>
        <v>969.49999999999955</v>
      </c>
      <c r="N53" s="154">
        <f t="shared" ref="N53" si="83">M53-N52</f>
        <v>923.33333333333292</v>
      </c>
      <c r="O53" s="154">
        <f t="shared" ref="O53" si="84">N53-O52</f>
        <v>877.16666666666629</v>
      </c>
      <c r="P53" s="154">
        <f t="shared" ref="P53" si="85">O53-P52</f>
        <v>830.99999999999966</v>
      </c>
      <c r="Q53" s="154">
        <f t="shared" ref="Q53" si="86">P53-Q52</f>
        <v>784.83333333333303</v>
      </c>
      <c r="R53" s="154">
        <f t="shared" ref="R53" si="87">Q53-R52</f>
        <v>738.6666666666664</v>
      </c>
      <c r="S53" s="154">
        <f t="shared" ref="S53" si="88">R53-S52</f>
        <v>692.49999999999977</v>
      </c>
      <c r="T53" s="154">
        <f t="shared" ref="T53" si="89">S53-T52</f>
        <v>646.33333333333314</v>
      </c>
      <c r="U53" s="154">
        <f t="shared" ref="U53" si="90">T53-U52</f>
        <v>600.16666666666652</v>
      </c>
      <c r="V53" s="154">
        <f t="shared" ref="V53" si="91">U53-V52</f>
        <v>553.99999999999989</v>
      </c>
      <c r="W53" s="154">
        <f t="shared" ref="W53" si="92">V53-W52</f>
        <v>507.8333333333332</v>
      </c>
      <c r="X53" s="154">
        <f t="shared" ref="X53" si="93">W53-X52</f>
        <v>461.66666666666652</v>
      </c>
      <c r="Y53" s="154">
        <f t="shared" ref="Y53" si="94">X53-Y52</f>
        <v>415.49999999999983</v>
      </c>
      <c r="Z53" s="154">
        <f t="shared" ref="Z53" si="95">Y53-Z52</f>
        <v>369.33333333333314</v>
      </c>
      <c r="AA53" s="154">
        <f t="shared" ref="AA53" si="96">Z53-AA52</f>
        <v>323.16666666666646</v>
      </c>
      <c r="AB53" s="154">
        <f t="shared" ref="AB53" si="97">AA53-AB52</f>
        <v>276.99999999999977</v>
      </c>
      <c r="AC53" s="154">
        <f t="shared" ref="AC53" si="98">AB53-AC52</f>
        <v>230.83333333333312</v>
      </c>
      <c r="AD53" s="154">
        <f t="shared" ref="AD53" si="99">AC53-AD52</f>
        <v>184.66666666666646</v>
      </c>
      <c r="AE53" s="154">
        <f t="shared" ref="AE53" si="100">AD53-AE52</f>
        <v>138.4999999999998</v>
      </c>
      <c r="AF53" s="154">
        <f t="shared" ref="AF53" si="101">AE53-AF52</f>
        <v>92.333333333333144</v>
      </c>
      <c r="AG53" s="154">
        <f t="shared" ref="AG53" si="102">AF53-AG52</f>
        <v>46.16666666666648</v>
      </c>
      <c r="AH53" s="154">
        <f t="shared" ref="AH53" si="103">AG53-AH52</f>
        <v>-1.8474111129762605E-13</v>
      </c>
    </row>
    <row r="54" spans="3:34" x14ac:dyDescent="0.35">
      <c r="C54" s="223"/>
      <c r="D54" t="s">
        <v>296</v>
      </c>
      <c r="E54" s="153">
        <f>E53*$G$10</f>
        <v>108.31161666666667</v>
      </c>
      <c r="F54" s="153">
        <f t="shared" ref="F54:AH54" si="104">F53*$G$10</f>
        <v>104.57673333333332</v>
      </c>
      <c r="G54" s="153">
        <f t="shared" si="104"/>
        <v>100.84184999999998</v>
      </c>
      <c r="H54" s="153">
        <f t="shared" si="104"/>
        <v>97.106966666666636</v>
      </c>
      <c r="I54" s="153">
        <f t="shared" si="104"/>
        <v>93.372083333333308</v>
      </c>
      <c r="J54" s="153">
        <f t="shared" si="104"/>
        <v>89.637199999999964</v>
      </c>
      <c r="K54" s="153">
        <f t="shared" si="104"/>
        <v>85.902316666666621</v>
      </c>
      <c r="L54" s="153">
        <f t="shared" si="104"/>
        <v>82.167433333333292</v>
      </c>
      <c r="M54" s="153">
        <f t="shared" si="104"/>
        <v>78.432549999999964</v>
      </c>
      <c r="N54" s="153">
        <f t="shared" si="104"/>
        <v>74.697666666666635</v>
      </c>
      <c r="O54" s="153">
        <f t="shared" si="104"/>
        <v>70.962783333333306</v>
      </c>
      <c r="P54" s="153">
        <f t="shared" si="104"/>
        <v>67.227899999999977</v>
      </c>
      <c r="Q54" s="153">
        <f t="shared" si="104"/>
        <v>63.493016666666641</v>
      </c>
      <c r="R54" s="153">
        <f t="shared" si="104"/>
        <v>59.758133333333312</v>
      </c>
      <c r="S54" s="153">
        <f t="shared" si="104"/>
        <v>56.023249999999983</v>
      </c>
      <c r="T54" s="153">
        <f t="shared" si="104"/>
        <v>52.288366666666654</v>
      </c>
      <c r="U54" s="153">
        <f t="shared" si="104"/>
        <v>48.553483333333318</v>
      </c>
      <c r="V54" s="153">
        <f t="shared" si="104"/>
        <v>44.818599999999989</v>
      </c>
      <c r="W54" s="153">
        <f t="shared" si="104"/>
        <v>41.083716666666653</v>
      </c>
      <c r="X54" s="153">
        <f t="shared" si="104"/>
        <v>37.348833333333324</v>
      </c>
      <c r="Y54" s="153">
        <f t="shared" si="104"/>
        <v>33.613949999999988</v>
      </c>
      <c r="Z54" s="153">
        <f t="shared" si="104"/>
        <v>29.879066666666652</v>
      </c>
      <c r="AA54" s="153">
        <f t="shared" si="104"/>
        <v>26.144183333333316</v>
      </c>
      <c r="AB54" s="153">
        <f t="shared" si="104"/>
        <v>22.40929999999998</v>
      </c>
      <c r="AC54" s="153">
        <f t="shared" si="104"/>
        <v>18.674416666666648</v>
      </c>
      <c r="AD54" s="153">
        <f t="shared" si="104"/>
        <v>14.939533333333316</v>
      </c>
      <c r="AE54" s="153">
        <f t="shared" si="104"/>
        <v>11.204649999999983</v>
      </c>
      <c r="AF54" s="153">
        <f t="shared" si="104"/>
        <v>7.4697666666666516</v>
      </c>
      <c r="AG54" s="153">
        <f t="shared" si="104"/>
        <v>3.7348833333333182</v>
      </c>
      <c r="AH54" s="153">
        <f t="shared" si="104"/>
        <v>-1.4945555903977948E-14</v>
      </c>
    </row>
    <row r="55" spans="3:34" x14ac:dyDescent="0.35">
      <c r="C55" s="223"/>
      <c r="D55" t="s">
        <v>297</v>
      </c>
      <c r="E55" s="188">
        <f>$E$21*1000000</f>
        <v>24952000</v>
      </c>
      <c r="F55" s="188">
        <f>E55+((($F$20-$E$20)*1000000)/($F$17-$E$17))</f>
        <v>24181911.111111112</v>
      </c>
      <c r="G55" s="188">
        <f t="shared" ref="G55:M55" si="105">F55+((($F$20-$E$20)*1000000)/($F$17-$E$17))</f>
        <v>23411822.222222224</v>
      </c>
      <c r="H55" s="188">
        <f t="shared" si="105"/>
        <v>22641733.333333336</v>
      </c>
      <c r="I55" s="188">
        <f t="shared" si="105"/>
        <v>21871644.444444448</v>
      </c>
      <c r="J55" s="188">
        <f t="shared" si="105"/>
        <v>21101555.55555556</v>
      </c>
      <c r="K55" s="188">
        <f t="shared" si="105"/>
        <v>20331466.666666672</v>
      </c>
      <c r="L55" s="188">
        <f t="shared" si="105"/>
        <v>19561377.777777784</v>
      </c>
      <c r="M55" s="188">
        <f t="shared" si="105"/>
        <v>18791288.888888896</v>
      </c>
      <c r="N55" s="188">
        <f>$F$21*1000000</f>
        <v>15737500</v>
      </c>
      <c r="O55" s="188">
        <f>N55+((($G$21-$F$21)*1000000)/($G$17-$F$17))</f>
        <v>15026550</v>
      </c>
      <c r="P55" s="188">
        <f t="shared" ref="P55:W55" si="106">O55+((($G$21-$F$21)*1000000)/($G$17-$F$17))</f>
        <v>14315600</v>
      </c>
      <c r="Q55" s="188">
        <f t="shared" si="106"/>
        <v>13604650</v>
      </c>
      <c r="R55" s="188">
        <f t="shared" si="106"/>
        <v>12893700</v>
      </c>
      <c r="S55" s="188">
        <f t="shared" si="106"/>
        <v>12182750</v>
      </c>
      <c r="T55" s="188">
        <f t="shared" si="106"/>
        <v>11471800</v>
      </c>
      <c r="U55" s="188">
        <f t="shared" si="106"/>
        <v>10760850</v>
      </c>
      <c r="V55" s="188">
        <f t="shared" si="106"/>
        <v>10049900</v>
      </c>
      <c r="W55" s="188">
        <f t="shared" si="106"/>
        <v>9338950</v>
      </c>
      <c r="X55" s="188">
        <f>$G$21*1000000</f>
        <v>8628000</v>
      </c>
      <c r="Y55" s="188">
        <f>X55+((($H$21-$G$21)*1000000)/($H$17-$G$17))</f>
        <v>8236600</v>
      </c>
      <c r="Z55" s="188">
        <f t="shared" ref="Z55:AG55" si="107">Y55+((($H$21-$G$21)*1000000)/($H$17-$G$17))</f>
        <v>7845200</v>
      </c>
      <c r="AA55" s="188">
        <f t="shared" si="107"/>
        <v>7453800</v>
      </c>
      <c r="AB55" s="188">
        <f t="shared" si="107"/>
        <v>7062400</v>
      </c>
      <c r="AC55" s="188">
        <f t="shared" si="107"/>
        <v>6671000</v>
      </c>
      <c r="AD55" s="188">
        <f t="shared" si="107"/>
        <v>6279600</v>
      </c>
      <c r="AE55" s="188">
        <f t="shared" si="107"/>
        <v>5888200</v>
      </c>
      <c r="AF55" s="188">
        <f t="shared" si="107"/>
        <v>5496800</v>
      </c>
      <c r="AG55" s="188">
        <f t="shared" si="107"/>
        <v>5105400</v>
      </c>
      <c r="AH55" s="188">
        <f>$H$21*1000000</f>
        <v>4714000</v>
      </c>
    </row>
    <row r="56" spans="3:34" x14ac:dyDescent="0.35">
      <c r="C56" s="223"/>
      <c r="D56" t="s">
        <v>322</v>
      </c>
      <c r="E56" s="211">
        <f>(E52+E54)/E55</f>
        <v>6.1910180880624137E-6</v>
      </c>
      <c r="F56" s="211">
        <f t="shared" ref="F56" si="108">(F52+F54)/F55</f>
        <v>6.2337256682221594E-6</v>
      </c>
      <c r="G56" s="211">
        <f t="shared" ref="G56" si="109">(G52+G54)/G55</f>
        <v>6.2792428231890433E-6</v>
      </c>
      <c r="H56" s="211">
        <f t="shared" ref="H56" si="110">(H52+H54)/H55</f>
        <v>6.3278562300883886E-6</v>
      </c>
      <c r="I56" s="211">
        <f t="shared" ref="I56" si="111">(I52+I54)/I55</f>
        <v>6.3798929410378101E-6</v>
      </c>
      <c r="J56" s="211">
        <f t="shared" ref="J56" si="112">(J52+J54)/J55</f>
        <v>6.4357277504554667E-6</v>
      </c>
      <c r="K56" s="211">
        <f t="shared" ref="K56" si="113">(K52+K54)/K55</f>
        <v>6.4957922366643456E-6</v>
      </c>
      <c r="L56" s="211">
        <f t="shared" ref="L56" si="114">(L52+L54)/L55</f>
        <v>6.5605859391862831E-6</v>
      </c>
      <c r="M56" s="211">
        <f t="shared" ref="M56" si="115">(M52+M54)/M55</f>
        <v>6.6306902843870871E-6</v>
      </c>
      <c r="N56" s="211">
        <f t="shared" ref="N56" si="116">(N52+N54)/N55</f>
        <v>7.6800211808313445E-6</v>
      </c>
      <c r="O56" s="211">
        <f t="shared" ref="O56" si="117">(O52+O54)/O55</f>
        <v>7.7948331453327583E-6</v>
      </c>
      <c r="P56" s="211">
        <f t="shared" ref="P56" si="118">(P52+P54)/P55</f>
        <v>7.9210488325090551E-6</v>
      </c>
      <c r="Q56" s="211">
        <f t="shared" ref="Q56" si="119">(Q52+Q54)/Q55</f>
        <v>8.0604560450532215E-6</v>
      </c>
      <c r="R56" s="211">
        <f t="shared" ref="R56" si="120">(R52+R54)/R55</f>
        <v>8.2152368986404191E-6</v>
      </c>
      <c r="S56" s="211">
        <f t="shared" ref="S56" si="121">(S52+S54)/S55</f>
        <v>8.3880828767451225E-6</v>
      </c>
      <c r="T56" s="211">
        <f t="shared" ref="T56" si="122">(T52+T54)/T55</f>
        <v>8.5823526677010863E-6</v>
      </c>
      <c r="U56" s="211">
        <f t="shared" ref="U56" si="123">(U52+U54)/U55</f>
        <v>8.8022925698248729E-6</v>
      </c>
      <c r="V56" s="211">
        <f t="shared" ref="V56" si="124">(V52+V54)/V55</f>
        <v>9.0533504479314871E-6</v>
      </c>
      <c r="W56" s="211">
        <f t="shared" ref="W56" si="125">(W52+W54)/W55</f>
        <v>9.3426330940130656E-6</v>
      </c>
      <c r="X56" s="211">
        <f t="shared" ref="X56" si="126">(X52+X54)/X55</f>
        <v>9.6795897079276752E-6</v>
      </c>
      <c r="Y56" s="211">
        <f t="shared" ref="Y56" si="127">(Y52+Y54)/Y55</f>
        <v>9.6861103691652673E-6</v>
      </c>
      <c r="Z56" s="211">
        <f t="shared" ref="Z56" si="128">(Z52+Z54)/Z55</f>
        <v>9.6932816669215983E-6</v>
      </c>
      <c r="AA56" s="211">
        <f t="shared" ref="AA56" si="129">(AA52+AA54)/AA55</f>
        <v>9.7012060962193761E-6</v>
      </c>
      <c r="AB56" s="211">
        <f t="shared" ref="AB56" si="130">(AB52+AB54)/AB55</f>
        <v>9.7100088732819786E-6</v>
      </c>
      <c r="AC56" s="211">
        <f t="shared" ref="AC56" si="131">(AC52+AC54)/AC55</f>
        <v>9.7198446010093411E-6</v>
      </c>
      <c r="AD56" s="211">
        <f t="shared" ref="AD56" si="132">(AD52+AD54)/AD55</f>
        <v>9.7309064271609617E-6</v>
      </c>
      <c r="AE56" s="211">
        <f t="shared" ref="AE56" si="133">(AE52+AE54)/AE55</f>
        <v>9.743438855111349E-6</v>
      </c>
      <c r="AF56" s="211">
        <f t="shared" ref="AF56" si="134">(AF52+AF54)/AF55</f>
        <v>9.7577560277494749E-6</v>
      </c>
      <c r="AG56" s="211">
        <f t="shared" ref="AG56" si="135">(AG52+AG54)/AG55</f>
        <v>9.7742684216711697E-6</v>
      </c>
      <c r="AH56" s="211">
        <f>(AH52+AH54)/AH55</f>
        <v>9.7935228397680631E-6</v>
      </c>
    </row>
    <row r="59" spans="3:34" s="99" customFormat="1" ht="13.5" x14ac:dyDescent="0.35">
      <c r="D59" s="142" t="s">
        <v>288</v>
      </c>
      <c r="E59" s="142"/>
      <c r="F59" s="142"/>
      <c r="G59" s="142"/>
      <c r="H59" s="142"/>
      <c r="I59" s="142"/>
      <c r="J59" s="142"/>
      <c r="K59" s="142"/>
      <c r="L59" s="142"/>
      <c r="M59" s="142"/>
      <c r="N59" s="142"/>
      <c r="O59" s="142"/>
      <c r="P59" s="142"/>
      <c r="Q59" s="142"/>
      <c r="R59" s="142"/>
      <c r="S59" s="142"/>
    </row>
    <row r="61" spans="3:34" x14ac:dyDescent="0.35">
      <c r="C61" s="9" t="s">
        <v>67</v>
      </c>
      <c r="D61" t="s">
        <v>291</v>
      </c>
      <c r="E61" s="186">
        <f>F7</f>
        <v>3866.6</v>
      </c>
    </row>
    <row r="62" spans="3:34" x14ac:dyDescent="0.35">
      <c r="C62" s="9" t="s">
        <v>68</v>
      </c>
      <c r="D62" t="s">
        <v>291</v>
      </c>
      <c r="E62" s="186">
        <f>F8</f>
        <v>9613.9</v>
      </c>
    </row>
    <row r="63" spans="3:34" x14ac:dyDescent="0.35">
      <c r="C63" s="9" t="s">
        <v>69</v>
      </c>
      <c r="D63" t="s">
        <v>291</v>
      </c>
      <c r="E63" s="186">
        <f t="shared" ref="E63:E64" si="136">F9</f>
        <v>21509.9</v>
      </c>
    </row>
    <row r="64" spans="3:34" x14ac:dyDescent="0.35">
      <c r="C64" s="9" t="s">
        <v>70</v>
      </c>
      <c r="D64" t="s">
        <v>291</v>
      </c>
      <c r="E64" s="186">
        <f t="shared" si="136"/>
        <v>7055</v>
      </c>
    </row>
    <row r="65" spans="3:34" x14ac:dyDescent="0.35">
      <c r="C65" s="249" t="s">
        <v>283</v>
      </c>
      <c r="D65" t="s">
        <v>284</v>
      </c>
      <c r="E65" s="14">
        <v>2020</v>
      </c>
    </row>
    <row r="66" spans="3:34" x14ac:dyDescent="0.35">
      <c r="C66" s="249"/>
      <c r="D66" t="s">
        <v>285</v>
      </c>
      <c r="E66" s="14">
        <v>2050</v>
      </c>
    </row>
    <row r="67" spans="3:34" x14ac:dyDescent="0.35">
      <c r="C67" s="249"/>
      <c r="D67" t="s">
        <v>292</v>
      </c>
      <c r="E67" s="119">
        <f>E66-E65</f>
        <v>30</v>
      </c>
    </row>
    <row r="69" spans="3:34" x14ac:dyDescent="0.35">
      <c r="E69" s="147">
        <v>2021</v>
      </c>
      <c r="F69" s="147">
        <v>2022</v>
      </c>
      <c r="G69" s="147">
        <v>2023</v>
      </c>
      <c r="H69" s="147">
        <v>2024</v>
      </c>
      <c r="I69" s="147">
        <v>2025</v>
      </c>
      <c r="J69" s="147">
        <v>2026</v>
      </c>
      <c r="K69" s="147">
        <v>2027</v>
      </c>
      <c r="L69" s="147">
        <v>2028</v>
      </c>
      <c r="M69" s="147">
        <v>2029</v>
      </c>
      <c r="N69" s="147">
        <v>2030</v>
      </c>
      <c r="O69" s="147">
        <v>2031</v>
      </c>
      <c r="P69" s="147">
        <v>2032</v>
      </c>
      <c r="Q69" s="147">
        <v>2033</v>
      </c>
      <c r="R69" s="147">
        <v>2034</v>
      </c>
      <c r="S69" s="147">
        <v>2035</v>
      </c>
      <c r="T69" s="147">
        <v>2036</v>
      </c>
      <c r="U69" s="147">
        <v>2037</v>
      </c>
      <c r="V69" s="147">
        <v>2038</v>
      </c>
      <c r="W69" s="147">
        <v>2039</v>
      </c>
      <c r="X69" s="147">
        <v>2040</v>
      </c>
      <c r="Y69" s="147">
        <v>2041</v>
      </c>
      <c r="Z69" s="147">
        <v>2042</v>
      </c>
      <c r="AA69" s="147">
        <v>2043</v>
      </c>
      <c r="AB69" s="147">
        <v>2044</v>
      </c>
      <c r="AC69" s="147">
        <v>2045</v>
      </c>
      <c r="AD69" s="147">
        <v>2046</v>
      </c>
      <c r="AE69" s="147">
        <v>2047</v>
      </c>
      <c r="AF69" s="147">
        <v>2048</v>
      </c>
      <c r="AG69" s="147">
        <v>2049</v>
      </c>
      <c r="AH69" s="147">
        <v>2050</v>
      </c>
    </row>
    <row r="70" spans="3:34" x14ac:dyDescent="0.35">
      <c r="C70" s="9" t="s">
        <v>107</v>
      </c>
      <c r="D70" s="9"/>
      <c r="E70" s="9">
        <v>1</v>
      </c>
      <c r="F70" s="9">
        <v>2</v>
      </c>
      <c r="G70" s="9">
        <v>3</v>
      </c>
      <c r="H70" s="9">
        <v>4</v>
      </c>
      <c r="I70" s="9">
        <v>5</v>
      </c>
      <c r="J70" s="9">
        <v>6</v>
      </c>
      <c r="K70" s="9">
        <v>7</v>
      </c>
      <c r="L70" s="9">
        <v>8</v>
      </c>
      <c r="M70" s="9">
        <v>9</v>
      </c>
      <c r="N70" s="9">
        <v>10</v>
      </c>
      <c r="O70" s="9">
        <v>11</v>
      </c>
      <c r="P70" s="9">
        <v>12</v>
      </c>
      <c r="Q70" s="9">
        <v>13</v>
      </c>
      <c r="R70" s="9">
        <v>14</v>
      </c>
      <c r="S70" s="9">
        <v>15</v>
      </c>
      <c r="T70" s="9">
        <v>16</v>
      </c>
      <c r="U70" s="9">
        <v>17</v>
      </c>
      <c r="V70" s="9">
        <v>18</v>
      </c>
      <c r="W70" s="9">
        <v>19</v>
      </c>
      <c r="X70" s="9">
        <v>20</v>
      </c>
      <c r="Y70" s="9">
        <v>21</v>
      </c>
      <c r="Z70" s="9">
        <v>22</v>
      </c>
      <c r="AA70" s="9">
        <v>23</v>
      </c>
      <c r="AB70" s="9">
        <v>24</v>
      </c>
      <c r="AC70" s="9">
        <v>25</v>
      </c>
      <c r="AD70" s="9">
        <v>26</v>
      </c>
      <c r="AE70" s="9">
        <v>27</v>
      </c>
      <c r="AF70" s="9">
        <v>28</v>
      </c>
      <c r="AG70" s="9">
        <v>29</v>
      </c>
      <c r="AH70" s="9">
        <v>30</v>
      </c>
    </row>
    <row r="71" spans="3:34" x14ac:dyDescent="0.35">
      <c r="C71" s="223" t="s">
        <v>67</v>
      </c>
      <c r="D71" t="s">
        <v>294</v>
      </c>
      <c r="E71" s="153">
        <f>$E$61/$E$67</f>
        <v>128.88666666666666</v>
      </c>
      <c r="F71" s="153">
        <f>$E$61/$E$67</f>
        <v>128.88666666666666</v>
      </c>
      <c r="G71" s="153">
        <f t="shared" ref="G71:AH71" si="137">$E$61/$E$67</f>
        <v>128.88666666666666</v>
      </c>
      <c r="H71" s="153">
        <f t="shared" si="137"/>
        <v>128.88666666666666</v>
      </c>
      <c r="I71" s="153">
        <f t="shared" si="137"/>
        <v>128.88666666666666</v>
      </c>
      <c r="J71" s="153">
        <f t="shared" si="137"/>
        <v>128.88666666666666</v>
      </c>
      <c r="K71" s="153">
        <f t="shared" si="137"/>
        <v>128.88666666666666</v>
      </c>
      <c r="L71" s="153">
        <f t="shared" si="137"/>
        <v>128.88666666666666</v>
      </c>
      <c r="M71" s="153">
        <f t="shared" si="137"/>
        <v>128.88666666666666</v>
      </c>
      <c r="N71" s="153">
        <f t="shared" si="137"/>
        <v>128.88666666666666</v>
      </c>
      <c r="O71" s="153">
        <f t="shared" si="137"/>
        <v>128.88666666666666</v>
      </c>
      <c r="P71" s="153">
        <f t="shared" si="137"/>
        <v>128.88666666666666</v>
      </c>
      <c r="Q71" s="153">
        <f t="shared" si="137"/>
        <v>128.88666666666666</v>
      </c>
      <c r="R71" s="153">
        <f t="shared" si="137"/>
        <v>128.88666666666666</v>
      </c>
      <c r="S71" s="153">
        <f t="shared" si="137"/>
        <v>128.88666666666666</v>
      </c>
      <c r="T71" s="153">
        <f t="shared" si="137"/>
        <v>128.88666666666666</v>
      </c>
      <c r="U71" s="153">
        <f t="shared" si="137"/>
        <v>128.88666666666666</v>
      </c>
      <c r="V71" s="153">
        <f t="shared" si="137"/>
        <v>128.88666666666666</v>
      </c>
      <c r="W71" s="153">
        <f t="shared" si="137"/>
        <v>128.88666666666666</v>
      </c>
      <c r="X71" s="153">
        <f t="shared" si="137"/>
        <v>128.88666666666666</v>
      </c>
      <c r="Y71" s="153">
        <f t="shared" si="137"/>
        <v>128.88666666666666</v>
      </c>
      <c r="Z71" s="153">
        <f t="shared" si="137"/>
        <v>128.88666666666666</v>
      </c>
      <c r="AA71" s="153">
        <f t="shared" si="137"/>
        <v>128.88666666666666</v>
      </c>
      <c r="AB71" s="153">
        <f t="shared" si="137"/>
        <v>128.88666666666666</v>
      </c>
      <c r="AC71" s="153">
        <f t="shared" si="137"/>
        <v>128.88666666666666</v>
      </c>
      <c r="AD71" s="153">
        <f t="shared" si="137"/>
        <v>128.88666666666666</v>
      </c>
      <c r="AE71" s="153">
        <f t="shared" si="137"/>
        <v>128.88666666666666</v>
      </c>
      <c r="AF71" s="153">
        <f t="shared" si="137"/>
        <v>128.88666666666666</v>
      </c>
      <c r="AG71" s="153">
        <f t="shared" si="137"/>
        <v>128.88666666666666</v>
      </c>
      <c r="AH71" s="153">
        <f t="shared" si="137"/>
        <v>128.88666666666666</v>
      </c>
    </row>
    <row r="72" spans="3:34" x14ac:dyDescent="0.35">
      <c r="C72" s="223"/>
      <c r="D72" t="s">
        <v>295</v>
      </c>
      <c r="E72" s="154">
        <f>$E$61-E71</f>
        <v>3737.7133333333331</v>
      </c>
      <c r="F72" s="154">
        <f>E72-F71</f>
        <v>3608.8266666666664</v>
      </c>
      <c r="G72" s="154">
        <f>F72-G71</f>
        <v>3479.9399999999996</v>
      </c>
      <c r="H72" s="154">
        <f t="shared" ref="H72" si="138">G72-H71</f>
        <v>3351.0533333333328</v>
      </c>
      <c r="I72" s="154">
        <f t="shared" ref="I72" si="139">H72-I71</f>
        <v>3222.1666666666661</v>
      </c>
      <c r="J72" s="154">
        <f t="shared" ref="J72" si="140">I72-J71</f>
        <v>3093.2799999999993</v>
      </c>
      <c r="K72" s="154">
        <f t="shared" ref="K72" si="141">J72-K71</f>
        <v>2964.3933333333325</v>
      </c>
      <c r="L72" s="154">
        <f t="shared" ref="L72" si="142">K72-L71</f>
        <v>2835.5066666666658</v>
      </c>
      <c r="M72" s="154">
        <f t="shared" ref="M72" si="143">L72-M71</f>
        <v>2706.619999999999</v>
      </c>
      <c r="N72" s="154">
        <f t="shared" ref="N72" si="144">M72-N71</f>
        <v>2577.7333333333322</v>
      </c>
      <c r="O72" s="154">
        <f t="shared" ref="O72" si="145">N72-O71</f>
        <v>2448.8466666666654</v>
      </c>
      <c r="P72" s="154">
        <f t="shared" ref="P72" si="146">O72-P71</f>
        <v>2319.9599999999987</v>
      </c>
      <c r="Q72" s="154">
        <f t="shared" ref="Q72" si="147">P72-Q71</f>
        <v>2191.0733333333319</v>
      </c>
      <c r="R72" s="154">
        <f t="shared" ref="R72" si="148">Q72-R71</f>
        <v>2062.1866666666651</v>
      </c>
      <c r="S72" s="154">
        <f t="shared" ref="S72" si="149">R72-S71</f>
        <v>1933.2999999999984</v>
      </c>
      <c r="T72" s="154">
        <f t="shared" ref="T72" si="150">S72-T71</f>
        <v>1804.4133333333316</v>
      </c>
      <c r="U72" s="154">
        <f t="shared" ref="U72" si="151">T72-U71</f>
        <v>1675.5266666666648</v>
      </c>
      <c r="V72" s="154">
        <f t="shared" ref="V72" si="152">U72-V71</f>
        <v>1546.6399999999981</v>
      </c>
      <c r="W72" s="154">
        <f t="shared" ref="W72" si="153">V72-W71</f>
        <v>1417.7533333333313</v>
      </c>
      <c r="X72" s="154">
        <f t="shared" ref="X72" si="154">W72-X71</f>
        <v>1288.8666666666645</v>
      </c>
      <c r="Y72" s="154">
        <f t="shared" ref="Y72" si="155">X72-Y71</f>
        <v>1159.9799999999977</v>
      </c>
      <c r="Z72" s="154">
        <f t="shared" ref="Z72" si="156">Y72-Z71</f>
        <v>1031.093333333331</v>
      </c>
      <c r="AA72" s="154">
        <f t="shared" ref="AA72" si="157">Z72-AA71</f>
        <v>902.20666666666432</v>
      </c>
      <c r="AB72" s="154">
        <f t="shared" ref="AB72" si="158">AA72-AB71</f>
        <v>773.31999999999766</v>
      </c>
      <c r="AC72" s="154">
        <f t="shared" ref="AC72" si="159">AB72-AC71</f>
        <v>644.43333333333101</v>
      </c>
      <c r="AD72" s="154">
        <f t="shared" ref="AD72" si="160">AC72-AD71</f>
        <v>515.54666666666435</v>
      </c>
      <c r="AE72" s="154">
        <f t="shared" ref="AE72" si="161">AD72-AE71</f>
        <v>386.65999999999769</v>
      </c>
      <c r="AF72" s="154">
        <f t="shared" ref="AF72" si="162">AE72-AF71</f>
        <v>257.77333333333104</v>
      </c>
      <c r="AG72" s="154">
        <f t="shared" ref="AG72" si="163">AF72-AG71</f>
        <v>128.88666666666438</v>
      </c>
      <c r="AH72" s="154">
        <f t="shared" ref="AH72" si="164">AG72-AH71</f>
        <v>-2.2737367544323206E-12</v>
      </c>
    </row>
    <row r="73" spans="3:34" x14ac:dyDescent="0.35">
      <c r="C73" s="223"/>
      <c r="D73" t="s">
        <v>296</v>
      </c>
      <c r="E73" s="153">
        <f>E72*$G$7</f>
        <v>171.93481333333332</v>
      </c>
      <c r="F73" s="153">
        <f t="shared" ref="F73" si="165">F72*$G$7</f>
        <v>166.00602666666666</v>
      </c>
      <c r="G73" s="153">
        <f t="shared" ref="G73" si="166">G72*$G$7</f>
        <v>160.07723999999999</v>
      </c>
      <c r="H73" s="153">
        <f t="shared" ref="H73" si="167">H72*$G$7</f>
        <v>154.14845333333332</v>
      </c>
      <c r="I73" s="153">
        <f t="shared" ref="I73" si="168">I72*$G$7</f>
        <v>148.21966666666663</v>
      </c>
      <c r="J73" s="153">
        <f t="shared" ref="J73" si="169">J72*$G$7</f>
        <v>142.29087999999996</v>
      </c>
      <c r="K73" s="153">
        <f t="shared" ref="K73" si="170">K72*$G$7</f>
        <v>136.36209333333329</v>
      </c>
      <c r="L73" s="153">
        <f t="shared" ref="L73" si="171">L72*$G$7</f>
        <v>130.43330666666662</v>
      </c>
      <c r="M73" s="153">
        <f t="shared" ref="M73" si="172">M72*$G$7</f>
        <v>124.50451999999996</v>
      </c>
      <c r="N73" s="153">
        <f t="shared" ref="N73" si="173">N72*$G$7</f>
        <v>118.57573333333328</v>
      </c>
      <c r="O73" s="153">
        <f t="shared" ref="O73" si="174">O72*$G$7</f>
        <v>112.64694666666661</v>
      </c>
      <c r="P73" s="153">
        <f t="shared" ref="P73" si="175">P72*$G$7</f>
        <v>106.71815999999994</v>
      </c>
      <c r="Q73" s="153">
        <f t="shared" ref="Q73" si="176">Q72*$G$7</f>
        <v>100.78937333333326</v>
      </c>
      <c r="R73" s="153">
        <f t="shared" ref="R73" si="177">R72*$G$7</f>
        <v>94.860586666666592</v>
      </c>
      <c r="S73" s="153">
        <f t="shared" ref="S73" si="178">S72*$G$7</f>
        <v>88.931799999999924</v>
      </c>
      <c r="T73" s="153">
        <f t="shared" ref="T73" si="179">T72*$G$7</f>
        <v>83.003013333333257</v>
      </c>
      <c r="U73" s="153">
        <f t="shared" ref="U73" si="180">U72*$G$7</f>
        <v>77.074226666666576</v>
      </c>
      <c r="V73" s="153">
        <f t="shared" ref="V73" si="181">V72*$G$7</f>
        <v>71.145439999999908</v>
      </c>
      <c r="W73" s="153">
        <f t="shared" ref="W73" si="182">W72*$G$7</f>
        <v>65.216653333333241</v>
      </c>
      <c r="X73" s="153">
        <f t="shared" ref="X73" si="183">X72*$G$7</f>
        <v>59.287866666666567</v>
      </c>
      <c r="Y73" s="153">
        <f t="shared" ref="Y73" si="184">Y72*$G$7</f>
        <v>53.359079999999892</v>
      </c>
      <c r="Z73" s="153">
        <f t="shared" ref="Z73" si="185">Z72*$G$7</f>
        <v>47.430293333333225</v>
      </c>
      <c r="AA73" s="153">
        <f t="shared" ref="AA73" si="186">AA72*$G$7</f>
        <v>41.501506666666558</v>
      </c>
      <c r="AB73" s="153">
        <f t="shared" ref="AB73" si="187">AB72*$G$7</f>
        <v>35.57271999999989</v>
      </c>
      <c r="AC73" s="153">
        <f t="shared" ref="AC73" si="188">AC72*$G$7</f>
        <v>29.643933333333226</v>
      </c>
      <c r="AD73" s="153">
        <f t="shared" ref="AD73" si="189">AD72*$G$7</f>
        <v>23.715146666666559</v>
      </c>
      <c r="AE73" s="153">
        <f t="shared" ref="AE73" si="190">AE72*$G$7</f>
        <v>17.786359999999895</v>
      </c>
      <c r="AF73" s="153">
        <f t="shared" ref="AF73" si="191">AF72*$G$7</f>
        <v>11.857573333333228</v>
      </c>
      <c r="AG73" s="153">
        <f t="shared" ref="AG73" si="192">AG72*$G$7</f>
        <v>5.9287866666665616</v>
      </c>
      <c r="AH73" s="153">
        <f t="shared" ref="AH73" si="193">AH72*$G$7</f>
        <v>-1.0459189070388674E-13</v>
      </c>
    </row>
    <row r="74" spans="3:34" x14ac:dyDescent="0.35">
      <c r="C74" s="223"/>
      <c r="D74" t="s">
        <v>297</v>
      </c>
      <c r="E74" s="188">
        <f>$E$18*1000000</f>
        <v>5024000</v>
      </c>
      <c r="F74" s="188">
        <f>E74+((($F$18-$E$18)*1000000)/($F$17-$E$17))</f>
        <v>4859611.111111111</v>
      </c>
      <c r="G74" s="188">
        <f t="shared" ref="G74:M74" si="194">F74+((($F$18-$E$18)*1000000)/($F$17-$E$17))</f>
        <v>4695222.222222222</v>
      </c>
      <c r="H74" s="188">
        <f t="shared" si="194"/>
        <v>4530833.333333333</v>
      </c>
      <c r="I74" s="188">
        <f t="shared" si="194"/>
        <v>4366444.444444444</v>
      </c>
      <c r="J74" s="188">
        <f t="shared" si="194"/>
        <v>4202055.555555555</v>
      </c>
      <c r="K74" s="188">
        <f t="shared" si="194"/>
        <v>4037666.666666666</v>
      </c>
      <c r="L74" s="188">
        <f t="shared" si="194"/>
        <v>3873277.7777777771</v>
      </c>
      <c r="M74" s="188">
        <f t="shared" si="194"/>
        <v>3708888.8888888881</v>
      </c>
      <c r="N74" s="188">
        <f>$F$18*1000000</f>
        <v>3544500</v>
      </c>
      <c r="O74" s="188">
        <f>N74+((($G$18-$F$18)*1000000)/($G$17-$F$17))</f>
        <v>3386300</v>
      </c>
      <c r="P74" s="188">
        <f t="shared" ref="P74:W74" si="195">O74+((($G$18-$F$18)*1000000)/($G$17-$F$17))</f>
        <v>3228100</v>
      </c>
      <c r="Q74" s="188">
        <f t="shared" si="195"/>
        <v>3069900</v>
      </c>
      <c r="R74" s="188">
        <f t="shared" si="195"/>
        <v>2911700</v>
      </c>
      <c r="S74" s="188">
        <f t="shared" si="195"/>
        <v>2753500</v>
      </c>
      <c r="T74" s="188">
        <f t="shared" si="195"/>
        <v>2595300</v>
      </c>
      <c r="U74" s="188">
        <f t="shared" si="195"/>
        <v>2437100</v>
      </c>
      <c r="V74" s="188">
        <f t="shared" si="195"/>
        <v>2278900</v>
      </c>
      <c r="W74" s="188">
        <f t="shared" si="195"/>
        <v>2120700</v>
      </c>
      <c r="X74" s="188">
        <f>$G$18*1000000</f>
        <v>1962500</v>
      </c>
      <c r="Y74" s="188">
        <f>X74+((($H$18-$G$18)*1000000)/($H$17-$G$17))</f>
        <v>1917083.3</v>
      </c>
      <c r="Z74" s="188">
        <f t="shared" ref="Z74:AG74" si="196">Y74+((($H$18-$G$18)*1000000)/($H$17-$G$17))</f>
        <v>1871666.6</v>
      </c>
      <c r="AA74" s="188">
        <f t="shared" si="196"/>
        <v>1826249.9000000001</v>
      </c>
      <c r="AB74" s="188">
        <f t="shared" si="196"/>
        <v>1780833.2000000002</v>
      </c>
      <c r="AC74" s="188">
        <f t="shared" si="196"/>
        <v>1735416.5000000002</v>
      </c>
      <c r="AD74" s="188">
        <f t="shared" si="196"/>
        <v>1689999.8000000003</v>
      </c>
      <c r="AE74" s="188">
        <f t="shared" si="196"/>
        <v>1644583.1000000003</v>
      </c>
      <c r="AF74" s="188">
        <f t="shared" si="196"/>
        <v>1599166.4000000004</v>
      </c>
      <c r="AG74" s="188">
        <f t="shared" si="196"/>
        <v>1553749.7000000004</v>
      </c>
      <c r="AH74" s="188">
        <f>$H$18*1000000</f>
        <v>1508333</v>
      </c>
    </row>
    <row r="75" spans="3:34" x14ac:dyDescent="0.35">
      <c r="C75" s="223"/>
      <c r="D75" t="s">
        <v>322</v>
      </c>
      <c r="E75" s="211">
        <f>(E71+E73)/E74</f>
        <v>5.9876886942675148E-5</v>
      </c>
      <c r="F75" s="211">
        <f t="shared" ref="F75" si="197">(F71+F73)/F74</f>
        <v>6.0682364615367032E-5</v>
      </c>
      <c r="G75" s="211">
        <f t="shared" ref="G75" si="198">(G71+G73)/G74</f>
        <v>6.1544244977163533E-5</v>
      </c>
      <c r="H75" s="211">
        <f t="shared" ref="H75" si="199">(H71+H73)/H74</f>
        <v>6.2468667279749873E-5</v>
      </c>
      <c r="I75" s="211">
        <f t="shared" ref="I75" si="200">(I71+I73)/I74</f>
        <v>6.3462695302559922E-5</v>
      </c>
      <c r="J75" s="211">
        <f t="shared" ref="J75" si="201">(J71+J73)/J74</f>
        <v>6.4534498195327673E-5</v>
      </c>
      <c r="K75" s="211">
        <f t="shared" ref="K75" si="202">(K71+K73)/K74</f>
        <v>6.5693575497399487E-5</v>
      </c>
      <c r="L75" s="211">
        <f t="shared" ref="L75" si="203">(L71+L73)/L74</f>
        <v>6.6951039458397273E-5</v>
      </c>
      <c r="M75" s="211">
        <f t="shared" ref="M75" si="204">(M71+M73)/M74</f>
        <v>6.8319972438585976E-5</v>
      </c>
      <c r="N75" s="211">
        <f t="shared" ref="N75" si="205">(N71+N73)/N74</f>
        <v>6.9815883763577356E-5</v>
      </c>
      <c r="O75" s="211">
        <f t="shared" ref="O75" si="206">(O71+O73)/O74</f>
        <v>7.1326702694189309E-5</v>
      </c>
      <c r="P75" s="211">
        <f t="shared" ref="P75" si="207">(P71+P73)/P74</f>
        <v>7.2985603502576316E-5</v>
      </c>
      <c r="Q75" s="211">
        <f t="shared" ref="Q75" si="208">(Q71+Q73)/Q74</f>
        <v>7.4815479331574291E-5</v>
      </c>
      <c r="R75" s="211">
        <f t="shared" ref="R75" si="209">(R71+R73)/R74</f>
        <v>7.6844198692630855E-5</v>
      </c>
      <c r="S75" s="211">
        <f t="shared" ref="S75" si="210">(S71+S73)/S74</f>
        <v>7.9106034743659553E-5</v>
      </c>
      <c r="T75" s="211">
        <f t="shared" ref="T75" si="211">(T71+T73)/T74</f>
        <v>8.1643617308210968E-5</v>
      </c>
      <c r="U75" s="211">
        <f t="shared" ref="U75" si="212">(U71+U73)/U74</f>
        <v>8.4510645165702359E-5</v>
      </c>
      <c r="V75" s="211">
        <f t="shared" ref="V75" si="213">(V71+V73)/V74</f>
        <v>8.7775728055933364E-5</v>
      </c>
      <c r="W75" s="211">
        <f t="shared" ref="W75" si="214">(W71+W73)/W74</f>
        <v>9.1527948318951232E-5</v>
      </c>
      <c r="X75" s="211">
        <f t="shared" ref="X75" si="215">(X71+X73)/X74</f>
        <v>9.5885112526539215E-5</v>
      </c>
      <c r="Y75" s="211">
        <f t="shared" ref="Y75" si="216">(Y71+Y73)/Y74</f>
        <v>9.5064072941779078E-5</v>
      </c>
      <c r="Z75" s="211">
        <f t="shared" ref="Z75" si="217">(Z71+Z73)/Z74</f>
        <v>9.4203187683105459E-5</v>
      </c>
      <c r="AA75" s="211">
        <f t="shared" ref="AA75" si="218">(AA71+AA73)/AA74</f>
        <v>9.3299484004534763E-5</v>
      </c>
      <c r="AB75" s="211">
        <f t="shared" ref="AB75" si="219">(AB71+AB73)/AB74</f>
        <v>9.2349685903579586E-5</v>
      </c>
      <c r="AC75" s="211">
        <f t="shared" ref="AC75" si="220">(AC71+AC73)/AC74</f>
        <v>9.1350174439392426E-5</v>
      </c>
      <c r="AD75" s="211">
        <f t="shared" ref="AD75" si="221">(AD71+AD73)/AD74</f>
        <v>9.0296941652497938E-5</v>
      </c>
      <c r="AE75" s="211">
        <f t="shared" ref="AE75" si="222">(AE71+AE73)/AE74</f>
        <v>8.9185536849227325E-5</v>
      </c>
      <c r="AF75" s="211">
        <f t="shared" ref="AF75" si="223">(AF71+AF73)/AF74</f>
        <v>8.8011003732944761E-5</v>
      </c>
      <c r="AG75" s="211">
        <f t="shared" ref="AG75" si="224">(AG71+AG73)/AG74</f>
        <v>8.6767806509203624E-5</v>
      </c>
      <c r="AH75" s="211">
        <f>(AH71+AH73)/AH74</f>
        <v>8.5449742640827023E-5</v>
      </c>
    </row>
    <row r="76" spans="3:34" x14ac:dyDescent="0.35">
      <c r="C76" s="223" t="s">
        <v>68</v>
      </c>
      <c r="D76" t="s">
        <v>294</v>
      </c>
      <c r="E76" s="153">
        <f>$E$62/$E$67</f>
        <v>320.46333333333331</v>
      </c>
      <c r="F76" s="153">
        <f t="shared" ref="F76:AH76" si="225">$E$62/$E$67</f>
        <v>320.46333333333331</v>
      </c>
      <c r="G76" s="153">
        <f t="shared" si="225"/>
        <v>320.46333333333331</v>
      </c>
      <c r="H76" s="153">
        <f t="shared" si="225"/>
        <v>320.46333333333331</v>
      </c>
      <c r="I76" s="153">
        <f t="shared" si="225"/>
        <v>320.46333333333331</v>
      </c>
      <c r="J76" s="153">
        <f t="shared" si="225"/>
        <v>320.46333333333331</v>
      </c>
      <c r="K76" s="153">
        <f t="shared" si="225"/>
        <v>320.46333333333331</v>
      </c>
      <c r="L76" s="153">
        <f t="shared" si="225"/>
        <v>320.46333333333331</v>
      </c>
      <c r="M76" s="153">
        <f t="shared" si="225"/>
        <v>320.46333333333331</v>
      </c>
      <c r="N76" s="153">
        <f t="shared" si="225"/>
        <v>320.46333333333331</v>
      </c>
      <c r="O76" s="153">
        <f t="shared" si="225"/>
        <v>320.46333333333331</v>
      </c>
      <c r="P76" s="153">
        <f t="shared" si="225"/>
        <v>320.46333333333331</v>
      </c>
      <c r="Q76" s="153">
        <f t="shared" si="225"/>
        <v>320.46333333333331</v>
      </c>
      <c r="R76" s="153">
        <f t="shared" si="225"/>
        <v>320.46333333333331</v>
      </c>
      <c r="S76" s="153">
        <f t="shared" si="225"/>
        <v>320.46333333333331</v>
      </c>
      <c r="T76" s="153">
        <f t="shared" si="225"/>
        <v>320.46333333333331</v>
      </c>
      <c r="U76" s="153">
        <f t="shared" si="225"/>
        <v>320.46333333333331</v>
      </c>
      <c r="V76" s="153">
        <f t="shared" si="225"/>
        <v>320.46333333333331</v>
      </c>
      <c r="W76" s="153">
        <f t="shared" si="225"/>
        <v>320.46333333333331</v>
      </c>
      <c r="X76" s="153">
        <f t="shared" si="225"/>
        <v>320.46333333333331</v>
      </c>
      <c r="Y76" s="153">
        <f t="shared" si="225"/>
        <v>320.46333333333331</v>
      </c>
      <c r="Z76" s="153">
        <f t="shared" si="225"/>
        <v>320.46333333333331</v>
      </c>
      <c r="AA76" s="153">
        <f t="shared" si="225"/>
        <v>320.46333333333331</v>
      </c>
      <c r="AB76" s="153">
        <f t="shared" si="225"/>
        <v>320.46333333333331</v>
      </c>
      <c r="AC76" s="153">
        <f t="shared" si="225"/>
        <v>320.46333333333331</v>
      </c>
      <c r="AD76" s="153">
        <f t="shared" si="225"/>
        <v>320.46333333333331</v>
      </c>
      <c r="AE76" s="153">
        <f t="shared" si="225"/>
        <v>320.46333333333331</v>
      </c>
      <c r="AF76" s="153">
        <f t="shared" si="225"/>
        <v>320.46333333333331</v>
      </c>
      <c r="AG76" s="153">
        <f t="shared" si="225"/>
        <v>320.46333333333331</v>
      </c>
      <c r="AH76" s="153">
        <f t="shared" si="225"/>
        <v>320.46333333333331</v>
      </c>
    </row>
    <row r="77" spans="3:34" x14ac:dyDescent="0.35">
      <c r="C77" s="223"/>
      <c r="D77" t="s">
        <v>295</v>
      </c>
      <c r="E77" s="154">
        <f>$E$62-E76</f>
        <v>9293.4366666666665</v>
      </c>
      <c r="F77" s="154">
        <f>E77-F76</f>
        <v>8972.9733333333334</v>
      </c>
      <c r="G77" s="154">
        <f>F77-G76</f>
        <v>8652.51</v>
      </c>
      <c r="H77" s="154">
        <f>G77-H76</f>
        <v>8332.0466666666671</v>
      </c>
      <c r="I77" s="154">
        <f t="shared" ref="I77" si="226">H77-I76</f>
        <v>8011.5833333333339</v>
      </c>
      <c r="J77" s="154">
        <f t="shared" ref="J77" si="227">I77-J76</f>
        <v>7691.1200000000008</v>
      </c>
      <c r="K77" s="154">
        <f t="shared" ref="K77" si="228">J77-K76</f>
        <v>7370.6566666666677</v>
      </c>
      <c r="L77" s="154">
        <f t="shared" ref="L77" si="229">K77-L76</f>
        <v>7050.1933333333345</v>
      </c>
      <c r="M77" s="154">
        <f t="shared" ref="M77" si="230">L77-M76</f>
        <v>6729.7300000000014</v>
      </c>
      <c r="N77" s="154">
        <f t="shared" ref="N77" si="231">M77-N76</f>
        <v>6409.2666666666682</v>
      </c>
      <c r="O77" s="154">
        <f t="shared" ref="O77" si="232">N77-O76</f>
        <v>6088.8033333333351</v>
      </c>
      <c r="P77" s="154">
        <f t="shared" ref="P77" si="233">O77-P76</f>
        <v>5768.340000000002</v>
      </c>
      <c r="Q77" s="154">
        <f t="shared" ref="Q77" si="234">P77-Q76</f>
        <v>5447.8766666666688</v>
      </c>
      <c r="R77" s="154">
        <f t="shared" ref="R77" si="235">Q77-R76</f>
        <v>5127.4133333333357</v>
      </c>
      <c r="S77" s="154">
        <f t="shared" ref="S77" si="236">R77-S76</f>
        <v>4806.9500000000025</v>
      </c>
      <c r="T77" s="154">
        <f t="shared" ref="T77" si="237">S77-T76</f>
        <v>4486.4866666666694</v>
      </c>
      <c r="U77" s="154">
        <f t="shared" ref="U77" si="238">T77-U76</f>
        <v>4166.0233333333363</v>
      </c>
      <c r="V77" s="154">
        <f t="shared" ref="V77" si="239">U77-V76</f>
        <v>3845.5600000000031</v>
      </c>
      <c r="W77" s="154">
        <f t="shared" ref="W77" si="240">V77-W76</f>
        <v>3525.09666666667</v>
      </c>
      <c r="X77" s="154">
        <f t="shared" ref="X77" si="241">W77-X76</f>
        <v>3204.6333333333369</v>
      </c>
      <c r="Y77" s="154">
        <f t="shared" ref="Y77" si="242">X77-Y76</f>
        <v>2884.1700000000037</v>
      </c>
      <c r="Z77" s="154">
        <f t="shared" ref="Z77" si="243">Y77-Z76</f>
        <v>2563.7066666666706</v>
      </c>
      <c r="AA77" s="154">
        <f t="shared" ref="AA77" si="244">Z77-AA76</f>
        <v>2243.2433333333374</v>
      </c>
      <c r="AB77" s="154">
        <f t="shared" ref="AB77" si="245">AA77-AB76</f>
        <v>1922.7800000000041</v>
      </c>
      <c r="AC77" s="154">
        <f t="shared" ref="AC77" si="246">AB77-AC76</f>
        <v>1602.3166666666707</v>
      </c>
      <c r="AD77" s="154">
        <f t="shared" ref="AD77" si="247">AC77-AD76</f>
        <v>1281.8533333333373</v>
      </c>
      <c r="AE77" s="154">
        <f t="shared" ref="AE77" si="248">AD77-AE76</f>
        <v>961.39000000000397</v>
      </c>
      <c r="AF77" s="154">
        <f t="shared" ref="AF77" si="249">AE77-AF76</f>
        <v>640.9266666666706</v>
      </c>
      <c r="AG77" s="154">
        <f t="shared" ref="AG77" si="250">AF77-AG76</f>
        <v>320.46333333333729</v>
      </c>
      <c r="AH77" s="154">
        <f>AG77-AH76</f>
        <v>3.979039320256561E-12</v>
      </c>
    </row>
    <row r="78" spans="3:34" x14ac:dyDescent="0.35">
      <c r="C78" s="223"/>
      <c r="D78" t="s">
        <v>286</v>
      </c>
      <c r="E78" s="153">
        <f>E77*$G$8</f>
        <v>632.88303699999994</v>
      </c>
      <c r="F78" s="153">
        <f>F77*$G$8</f>
        <v>611.059484</v>
      </c>
      <c r="G78" s="153">
        <f t="shared" ref="G78" si="251">G77*$G$8</f>
        <v>589.23593099999994</v>
      </c>
      <c r="H78" s="153">
        <f t="shared" ref="H78" si="252">H77*$G$8</f>
        <v>567.41237799999999</v>
      </c>
      <c r="I78" s="153">
        <f t="shared" ref="I78" si="253">I77*$G$8</f>
        <v>545.58882500000004</v>
      </c>
      <c r="J78" s="153">
        <f t="shared" ref="J78" si="254">J77*$G$8</f>
        <v>523.76527199999998</v>
      </c>
      <c r="K78" s="153">
        <f t="shared" ref="K78" si="255">K77*$G$8</f>
        <v>501.94171900000003</v>
      </c>
      <c r="L78" s="153">
        <f t="shared" ref="L78" si="256">L77*$G$8</f>
        <v>480.11816600000003</v>
      </c>
      <c r="M78" s="153">
        <f t="shared" ref="M78" si="257">M77*$G$8</f>
        <v>458.29461300000003</v>
      </c>
      <c r="N78" s="153">
        <f t="shared" ref="N78" si="258">N77*$G$8</f>
        <v>436.47106000000008</v>
      </c>
      <c r="O78" s="153">
        <f t="shared" ref="O78" si="259">O77*$G$8</f>
        <v>414.64750700000008</v>
      </c>
      <c r="P78" s="153">
        <f t="shared" ref="P78" si="260">P77*$G$8</f>
        <v>392.82395400000007</v>
      </c>
      <c r="Q78" s="153">
        <f t="shared" ref="Q78" si="261">Q77*$G$8</f>
        <v>371.00040100000012</v>
      </c>
      <c r="R78" s="153">
        <f t="shared" ref="R78" si="262">R77*$G$8</f>
        <v>349.17684800000012</v>
      </c>
      <c r="S78" s="153">
        <f t="shared" ref="S78" si="263">S77*$G$8</f>
        <v>327.35329500000012</v>
      </c>
      <c r="T78" s="153">
        <f t="shared" ref="T78" si="264">T77*$G$8</f>
        <v>305.52974200000017</v>
      </c>
      <c r="U78" s="153">
        <f t="shared" ref="U78" si="265">U77*$G$8</f>
        <v>283.70618900000017</v>
      </c>
      <c r="V78" s="153">
        <f t="shared" ref="V78" si="266">V77*$G$8</f>
        <v>261.88263600000016</v>
      </c>
      <c r="W78" s="153">
        <f t="shared" ref="W78" si="267">W77*$G$8</f>
        <v>240.05908300000021</v>
      </c>
      <c r="X78" s="153">
        <f t="shared" ref="X78" si="268">X77*$G$8</f>
        <v>218.23553000000021</v>
      </c>
      <c r="Y78" s="153">
        <f t="shared" ref="Y78" si="269">Y77*$G$8</f>
        <v>196.41197700000023</v>
      </c>
      <c r="Z78" s="153">
        <f t="shared" ref="Z78" si="270">Z77*$G$8</f>
        <v>174.58842400000026</v>
      </c>
      <c r="AA78" s="153">
        <f t="shared" ref="AA78" si="271">AA77*$G$8</f>
        <v>152.76487100000026</v>
      </c>
      <c r="AB78" s="153">
        <f t="shared" ref="AB78" si="272">AB77*$G$8</f>
        <v>130.94131800000025</v>
      </c>
      <c r="AC78" s="153">
        <f t="shared" ref="AC78" si="273">AC77*$G$8</f>
        <v>109.11776500000026</v>
      </c>
      <c r="AD78" s="153">
        <f t="shared" ref="AD78" si="274">AD77*$G$8</f>
        <v>87.294212000000257</v>
      </c>
      <c r="AE78" s="153">
        <f t="shared" ref="AE78" si="275">AE77*$G$8</f>
        <v>65.470659000000268</v>
      </c>
      <c r="AF78" s="153">
        <f t="shared" ref="AF78" si="276">AF77*$G$8</f>
        <v>43.647106000000264</v>
      </c>
      <c r="AG78" s="153">
        <f t="shared" ref="AG78" si="277">AG77*$G$8</f>
        <v>21.823553000000267</v>
      </c>
      <c r="AH78" s="153">
        <f t="shared" ref="AH78" si="278">AH77*$G$8</f>
        <v>2.7097257770947178E-13</v>
      </c>
    </row>
    <row r="79" spans="3:34" x14ac:dyDescent="0.35">
      <c r="C79" s="223"/>
      <c r="D79" t="s">
        <v>297</v>
      </c>
      <c r="E79" s="188">
        <f>$E$19*1000000</f>
        <v>7700000</v>
      </c>
      <c r="F79" s="188">
        <f>E79+((($F$19-$E$19)*1000000)/($F$17-$E$17))</f>
        <v>7737523.333333333</v>
      </c>
      <c r="G79" s="188">
        <f t="shared" ref="G79:M79" si="279">F79+((($F$19-$E$19)*1000000)/($F$17-$E$17))</f>
        <v>7775046.666666666</v>
      </c>
      <c r="H79" s="188">
        <f t="shared" si="279"/>
        <v>7812569.9999999991</v>
      </c>
      <c r="I79" s="188">
        <f t="shared" si="279"/>
        <v>7850093.3333333321</v>
      </c>
      <c r="J79" s="188">
        <f t="shared" si="279"/>
        <v>7887616.6666666651</v>
      </c>
      <c r="K79" s="188">
        <f t="shared" si="279"/>
        <v>7925139.9999999981</v>
      </c>
      <c r="L79" s="188">
        <f t="shared" si="279"/>
        <v>7962663.3333333312</v>
      </c>
      <c r="M79" s="188">
        <f t="shared" si="279"/>
        <v>8000186.6666666642</v>
      </c>
      <c r="N79" s="188">
        <f>$F$19*1000000</f>
        <v>8037710.0000000009</v>
      </c>
      <c r="O79" s="188">
        <f>N79+((($G$19-$F$19)*1000000)/($G$17-$F$17))</f>
        <v>7771981.2000000011</v>
      </c>
      <c r="P79" s="188">
        <f t="shared" ref="P79:W79" si="280">O79+((($G$19-$F$19)*1000000)/($G$17-$F$17))</f>
        <v>7506252.4000000013</v>
      </c>
      <c r="Q79" s="188">
        <f t="shared" si="280"/>
        <v>7240523.6000000015</v>
      </c>
      <c r="R79" s="188">
        <f t="shared" si="280"/>
        <v>6974794.8000000017</v>
      </c>
      <c r="S79" s="188">
        <f t="shared" si="280"/>
        <v>6709066.0000000019</v>
      </c>
      <c r="T79" s="188">
        <f t="shared" si="280"/>
        <v>6443337.200000002</v>
      </c>
      <c r="U79" s="188">
        <f t="shared" si="280"/>
        <v>6177608.4000000022</v>
      </c>
      <c r="V79" s="188">
        <f t="shared" si="280"/>
        <v>5911879.6000000024</v>
      </c>
      <c r="W79" s="188">
        <f t="shared" si="280"/>
        <v>5646150.8000000026</v>
      </c>
      <c r="X79" s="188">
        <f>$G$19*1000000</f>
        <v>5380422</v>
      </c>
      <c r="Y79" s="188">
        <f>X79+((($H$19-$G$19)*1000000)/($H$17-$G$17))</f>
        <v>5144163.0999999996</v>
      </c>
      <c r="Z79" s="188">
        <f t="shared" ref="Z79:AG79" si="281">Y79+((($H$19-$G$19)*1000000)/($H$17-$G$17))</f>
        <v>4907904.1999999993</v>
      </c>
      <c r="AA79" s="188">
        <f t="shared" si="281"/>
        <v>4671645.2999999989</v>
      </c>
      <c r="AB79" s="188">
        <f t="shared" si="281"/>
        <v>4435386.3999999985</v>
      </c>
      <c r="AC79" s="188">
        <f t="shared" si="281"/>
        <v>4199127.4999999981</v>
      </c>
      <c r="AD79" s="188">
        <f t="shared" si="281"/>
        <v>3962868.5999999982</v>
      </c>
      <c r="AE79" s="188">
        <f t="shared" si="281"/>
        <v>3726609.6999999983</v>
      </c>
      <c r="AF79" s="188">
        <f t="shared" si="281"/>
        <v>3490350.7999999984</v>
      </c>
      <c r="AG79" s="188">
        <f t="shared" si="281"/>
        <v>3254091.8999999985</v>
      </c>
      <c r="AH79" s="188">
        <f>$H$19*1000000</f>
        <v>3017833</v>
      </c>
    </row>
    <row r="80" spans="3:34" x14ac:dyDescent="0.35">
      <c r="C80" s="223"/>
      <c r="D80" t="s">
        <v>322</v>
      </c>
      <c r="E80" s="211">
        <f>(E76+E78)/E79</f>
        <v>1.2381121692640692E-4</v>
      </c>
      <c r="F80" s="211">
        <f t="shared" ref="F80" si="282">(F76+F78)/F79</f>
        <v>1.2039030800984122E-4</v>
      </c>
      <c r="G80" s="211">
        <f t="shared" ref="G80" si="283">(G76+G78)/G79</f>
        <v>1.170024185492563E-4</v>
      </c>
      <c r="H80" s="211">
        <f t="shared" ref="H80" si="284">(H76+H78)/H79</f>
        <v>1.1364707277289464E-4</v>
      </c>
      <c r="I80" s="211">
        <f t="shared" ref="I80" si="285">(I76+I78)/I79</f>
        <v>1.1032380400572735E-4</v>
      </c>
      <c r="J80" s="211">
        <f t="shared" ref="J80" si="286">(J76+J78)/J79</f>
        <v>1.070321544530773E-4</v>
      </c>
      <c r="K80" s="211">
        <f t="shared" ref="K80" si="287">(K76+K78)/K79</f>
        <v>1.0377167499038926E-4</v>
      </c>
      <c r="L80" s="211">
        <f t="shared" ref="L80" si="288">(L76+L78)/L79</f>
        <v>1.0054192495894383E-4</v>
      </c>
      <c r="M80" s="211">
        <f t="shared" ref="M80" si="289">(M76+M78)/M79</f>
        <v>9.7342471967320807E-5</v>
      </c>
      <c r="N80" s="211">
        <f t="shared" ref="N80" si="290">(N76+N78)/N79</f>
        <v>9.4172891698423222E-5</v>
      </c>
      <c r="O80" s="211">
        <f t="shared" ref="O80" si="291">(O76+O78)/O79</f>
        <v>9.4584742476388559E-5</v>
      </c>
      <c r="P80" s="211">
        <f t="shared" ref="P80" si="292">(P76+P78)/P79</f>
        <v>9.5025753108612926E-5</v>
      </c>
      <c r="Q80" s="211">
        <f t="shared" ref="Q80" si="293">(Q76+Q78)/Q79</f>
        <v>9.5499134114186609E-5</v>
      </c>
      <c r="R80" s="211">
        <f t="shared" ref="R80" si="294">(R76+R78)/R79</f>
        <v>9.6008585275273375E-5</v>
      </c>
      <c r="S80" s="211">
        <f t="shared" ref="S80" si="295">(S76+S78)/S79</f>
        <v>9.6558392529352561E-5</v>
      </c>
      <c r="T80" s="211">
        <f t="shared" ref="T80" si="296">(T76+T78)/T79</f>
        <v>9.7153548836980525E-5</v>
      </c>
      <c r="U80" s="211">
        <f t="shared" ref="U80" si="297">(U76+U78)/U79</f>
        <v>9.7799906244192052E-5</v>
      </c>
      <c r="V80" s="211">
        <f t="shared" ref="V80" si="298">(V76+V78)/V79</f>
        <v>9.8504368954559427E-5</v>
      </c>
      <c r="W80" s="211">
        <f t="shared" ref="W80" si="299">(W76+W78)/W79</f>
        <v>9.927514092137483E-5</v>
      </c>
      <c r="X80" s="211">
        <f t="shared" ref="X80" si="300">(X76+X78)/X79</f>
        <v>1.0012204680847218E-4</v>
      </c>
      <c r="Y80" s="211">
        <f t="shared" ref="Y80" si="301">(Y76+Y78)/Y79</f>
        <v>1.0047801756778155E-4</v>
      </c>
      <c r="Z80" s="211">
        <f t="shared" ref="Z80" si="302">(Z76+Z78)/Z79</f>
        <v>1.0086826008815202E-4</v>
      </c>
      <c r="AA80" s="211">
        <f t="shared" ref="AA80" si="303">(AA76+AA78)/AA79</f>
        <v>1.0129797404210754E-4</v>
      </c>
      <c r="AB80" s="211">
        <f t="shared" ref="AB80" si="304">(AB76+AB78)/AB79</f>
        <v>1.0177346698211766E-4</v>
      </c>
      <c r="AC80" s="211">
        <f t="shared" ref="AC80" si="305">(AC76+AC78)/AC79</f>
        <v>1.0230246600831571E-4</v>
      </c>
      <c r="AD80" s="211">
        <f t="shared" ref="AD80" si="306">(AD76+AD78)/AD79</f>
        <v>1.028945409225362E-4</v>
      </c>
      <c r="AE80" s="211">
        <f t="shared" ref="AE80" si="307">(AE76+AE78)/AE79</f>
        <v>1.0356168834459207E-4</v>
      </c>
      <c r="AF80" s="211">
        <f t="shared" ref="AF80" si="308">(AF76+AF78)/AF79</f>
        <v>1.0431915305857904E-4</v>
      </c>
      <c r="AG80" s="211">
        <f t="shared" ref="AG80" si="309">(AG76+AG78)/AG79</f>
        <v>1.0518660715554277E-4</v>
      </c>
      <c r="AH80" s="211">
        <f>(AH76+AH78)/AH79</f>
        <v>1.0618988304963647E-4</v>
      </c>
    </row>
    <row r="81" spans="3:34" x14ac:dyDescent="0.35">
      <c r="C81" s="223" t="s">
        <v>69</v>
      </c>
      <c r="D81" t="s">
        <v>294</v>
      </c>
      <c r="E81" s="153">
        <f>$E$63/$E$67</f>
        <v>716.99666666666667</v>
      </c>
      <c r="F81" s="153">
        <f t="shared" ref="F81:AH81" si="310">$E$63/$E$67</f>
        <v>716.99666666666667</v>
      </c>
      <c r="G81" s="153">
        <f t="shared" si="310"/>
        <v>716.99666666666667</v>
      </c>
      <c r="H81" s="153">
        <f t="shared" si="310"/>
        <v>716.99666666666667</v>
      </c>
      <c r="I81" s="153">
        <f t="shared" si="310"/>
        <v>716.99666666666667</v>
      </c>
      <c r="J81" s="153">
        <f t="shared" si="310"/>
        <v>716.99666666666667</v>
      </c>
      <c r="K81" s="153">
        <f t="shared" si="310"/>
        <v>716.99666666666667</v>
      </c>
      <c r="L81" s="153">
        <f t="shared" si="310"/>
        <v>716.99666666666667</v>
      </c>
      <c r="M81" s="153">
        <f t="shared" si="310"/>
        <v>716.99666666666667</v>
      </c>
      <c r="N81" s="153">
        <f t="shared" si="310"/>
        <v>716.99666666666667</v>
      </c>
      <c r="O81" s="153">
        <f t="shared" si="310"/>
        <v>716.99666666666667</v>
      </c>
      <c r="P81" s="153">
        <f t="shared" si="310"/>
        <v>716.99666666666667</v>
      </c>
      <c r="Q81" s="153">
        <f t="shared" si="310"/>
        <v>716.99666666666667</v>
      </c>
      <c r="R81" s="153">
        <f t="shared" si="310"/>
        <v>716.99666666666667</v>
      </c>
      <c r="S81" s="153">
        <f t="shared" si="310"/>
        <v>716.99666666666667</v>
      </c>
      <c r="T81" s="153">
        <f t="shared" si="310"/>
        <v>716.99666666666667</v>
      </c>
      <c r="U81" s="153">
        <f t="shared" si="310"/>
        <v>716.99666666666667</v>
      </c>
      <c r="V81" s="153">
        <f t="shared" si="310"/>
        <v>716.99666666666667</v>
      </c>
      <c r="W81" s="153">
        <f t="shared" si="310"/>
        <v>716.99666666666667</v>
      </c>
      <c r="X81" s="153">
        <f t="shared" si="310"/>
        <v>716.99666666666667</v>
      </c>
      <c r="Y81" s="153">
        <f t="shared" si="310"/>
        <v>716.99666666666667</v>
      </c>
      <c r="Z81" s="153">
        <f t="shared" si="310"/>
        <v>716.99666666666667</v>
      </c>
      <c r="AA81" s="153">
        <f t="shared" si="310"/>
        <v>716.99666666666667</v>
      </c>
      <c r="AB81" s="153">
        <f t="shared" si="310"/>
        <v>716.99666666666667</v>
      </c>
      <c r="AC81" s="153">
        <f t="shared" si="310"/>
        <v>716.99666666666667</v>
      </c>
      <c r="AD81" s="153">
        <f t="shared" si="310"/>
        <v>716.99666666666667</v>
      </c>
      <c r="AE81" s="153">
        <f t="shared" si="310"/>
        <v>716.99666666666667</v>
      </c>
      <c r="AF81" s="153">
        <f t="shared" si="310"/>
        <v>716.99666666666667</v>
      </c>
      <c r="AG81" s="153">
        <f t="shared" si="310"/>
        <v>716.99666666666667</v>
      </c>
      <c r="AH81" s="153">
        <f t="shared" si="310"/>
        <v>716.99666666666667</v>
      </c>
    </row>
    <row r="82" spans="3:34" x14ac:dyDescent="0.35">
      <c r="C82" s="223"/>
      <c r="D82" t="s">
        <v>295</v>
      </c>
      <c r="E82" s="154">
        <f>$E$63-E81</f>
        <v>20792.903333333335</v>
      </c>
      <c r="F82" s="154">
        <f t="shared" ref="F82" si="311">E82-F81</f>
        <v>20075.906666666669</v>
      </c>
      <c r="G82" s="154">
        <f t="shared" ref="G82" si="312">F82-G81</f>
        <v>19358.910000000003</v>
      </c>
      <c r="H82" s="154">
        <f t="shared" ref="H82" si="313">G82-H81</f>
        <v>18641.913333333338</v>
      </c>
      <c r="I82" s="154">
        <f t="shared" ref="I82" si="314">H82-I81</f>
        <v>17924.916666666672</v>
      </c>
      <c r="J82" s="154">
        <f t="shared" ref="J82" si="315">I82-J81</f>
        <v>17207.920000000006</v>
      </c>
      <c r="K82" s="154">
        <f t="shared" ref="K82" si="316">J82-K81</f>
        <v>16490.92333333334</v>
      </c>
      <c r="L82" s="154">
        <f t="shared" ref="L82" si="317">K82-L81</f>
        <v>15773.926666666674</v>
      </c>
      <c r="M82" s="154">
        <f t="shared" ref="M82" si="318">L82-M81</f>
        <v>15056.930000000008</v>
      </c>
      <c r="N82" s="154">
        <f t="shared" ref="N82" si="319">M82-N81</f>
        <v>14339.933333333342</v>
      </c>
      <c r="O82" s="154">
        <f t="shared" ref="O82" si="320">N82-O81</f>
        <v>13622.936666666676</v>
      </c>
      <c r="P82" s="154">
        <f t="shared" ref="P82" si="321">O82-P81</f>
        <v>12905.94000000001</v>
      </c>
      <c r="Q82" s="154">
        <f t="shared" ref="Q82" si="322">P82-Q81</f>
        <v>12188.943333333344</v>
      </c>
      <c r="R82" s="154">
        <f t="shared" ref="R82" si="323">Q82-R81</f>
        <v>11471.946666666678</v>
      </c>
      <c r="S82" s="154">
        <f t="shared" ref="S82" si="324">R82-S81</f>
        <v>10754.950000000012</v>
      </c>
      <c r="T82" s="154">
        <f t="shared" ref="T82" si="325">S82-T81</f>
        <v>10037.953333333346</v>
      </c>
      <c r="U82" s="154">
        <f t="shared" ref="U82" si="326">T82-U81</f>
        <v>9320.9566666666797</v>
      </c>
      <c r="V82" s="154">
        <f t="shared" ref="V82" si="327">U82-V81</f>
        <v>8603.9600000000137</v>
      </c>
      <c r="W82" s="154">
        <f t="shared" ref="W82" si="328">V82-W81</f>
        <v>7886.9633333333468</v>
      </c>
      <c r="X82" s="154">
        <f t="shared" ref="X82" si="329">W82-X81</f>
        <v>7169.9666666666799</v>
      </c>
      <c r="Y82" s="154">
        <f t="shared" ref="Y82" si="330">X82-Y81</f>
        <v>6452.970000000013</v>
      </c>
      <c r="Z82" s="154">
        <f t="shared" ref="Z82" si="331">Y82-Z81</f>
        <v>5735.9733333333461</v>
      </c>
      <c r="AA82" s="154">
        <f t="shared" ref="AA82" si="332">Z82-AA81</f>
        <v>5018.9766666666792</v>
      </c>
      <c r="AB82" s="154">
        <f t="shared" ref="AB82" si="333">AA82-AB81</f>
        <v>4301.9800000000123</v>
      </c>
      <c r="AC82" s="154">
        <f t="shared" ref="AC82" si="334">AB82-AC81</f>
        <v>3584.9833333333454</v>
      </c>
      <c r="AD82" s="154">
        <f t="shared" ref="AD82" si="335">AC82-AD81</f>
        <v>2867.9866666666785</v>
      </c>
      <c r="AE82" s="154">
        <f t="shared" ref="AE82" si="336">AD82-AE81</f>
        <v>2150.9900000000116</v>
      </c>
      <c r="AF82" s="154">
        <f t="shared" ref="AF82" si="337">AE82-AF81</f>
        <v>1433.9933333333449</v>
      </c>
      <c r="AG82" s="154">
        <f t="shared" ref="AG82" si="338">AF82-AG81</f>
        <v>716.99666666667827</v>
      </c>
      <c r="AH82" s="154">
        <f t="shared" ref="AH82" si="339">AG82-AH81</f>
        <v>1.1596057447604835E-11</v>
      </c>
    </row>
    <row r="83" spans="3:34" x14ac:dyDescent="0.35">
      <c r="C83" s="223"/>
      <c r="D83" t="s">
        <v>296</v>
      </c>
      <c r="E83" s="153">
        <f>E82*$G$9</f>
        <v>1145.6889736666669</v>
      </c>
      <c r="F83" s="153">
        <f t="shared" ref="F83" si="340">F82*$G$9</f>
        <v>1106.1824573333336</v>
      </c>
      <c r="G83" s="153">
        <f t="shared" ref="G83" si="341">G82*$G$9</f>
        <v>1066.6759410000002</v>
      </c>
      <c r="H83" s="153">
        <f t="shared" ref="H83" si="342">H82*$G$9</f>
        <v>1027.1694246666671</v>
      </c>
      <c r="I83" s="153">
        <f t="shared" ref="I83" si="343">I82*$G$9</f>
        <v>987.66290833333369</v>
      </c>
      <c r="J83" s="153">
        <f t="shared" ref="J83" si="344">J82*$G$9</f>
        <v>948.15639200000032</v>
      </c>
      <c r="K83" s="153">
        <f t="shared" ref="K83" si="345">K82*$G$9</f>
        <v>908.64987566666707</v>
      </c>
      <c r="L83" s="153">
        <f t="shared" ref="L83" si="346">L82*$G$9</f>
        <v>869.14335933333371</v>
      </c>
      <c r="M83" s="153">
        <f t="shared" ref="M83" si="347">M82*$G$9</f>
        <v>829.63684300000045</v>
      </c>
      <c r="N83" s="153">
        <f t="shared" ref="N83" si="348">N82*$G$9</f>
        <v>790.1303266666672</v>
      </c>
      <c r="O83" s="153">
        <f t="shared" ref="O83" si="349">O82*$G$9</f>
        <v>750.62381033333384</v>
      </c>
      <c r="P83" s="153">
        <f t="shared" ref="P83" si="350">P82*$G$9</f>
        <v>711.11729400000058</v>
      </c>
      <c r="Q83" s="153">
        <f t="shared" ref="Q83" si="351">Q82*$G$9</f>
        <v>671.61077766666722</v>
      </c>
      <c r="R83" s="153">
        <f t="shared" ref="R83" si="352">R82*$G$9</f>
        <v>632.10426133333397</v>
      </c>
      <c r="S83" s="153">
        <f t="shared" ref="S83" si="353">S82*$G$9</f>
        <v>592.59774500000071</v>
      </c>
      <c r="T83" s="153">
        <f t="shared" ref="T83" si="354">T82*$G$9</f>
        <v>553.09122866666735</v>
      </c>
      <c r="U83" s="153">
        <f t="shared" ref="U83" si="355">U82*$G$9</f>
        <v>513.5847123333341</v>
      </c>
      <c r="V83" s="153">
        <f t="shared" ref="V83" si="356">V82*$G$9</f>
        <v>474.07819600000079</v>
      </c>
      <c r="W83" s="153">
        <f t="shared" ref="W83" si="357">W82*$G$9</f>
        <v>434.57167966666742</v>
      </c>
      <c r="X83" s="153">
        <f t="shared" ref="X83" si="358">X82*$G$9</f>
        <v>395.06516333333411</v>
      </c>
      <c r="Y83" s="153">
        <f t="shared" ref="Y83" si="359">Y82*$G$9</f>
        <v>355.55864700000075</v>
      </c>
      <c r="Z83" s="153">
        <f t="shared" ref="Z83" si="360">Z82*$G$9</f>
        <v>316.05213066666738</v>
      </c>
      <c r="AA83" s="153">
        <f t="shared" ref="AA83" si="361">AA82*$G$9</f>
        <v>276.54561433333402</v>
      </c>
      <c r="AB83" s="153">
        <f t="shared" ref="AB83" si="362">AB82*$G$9</f>
        <v>237.03909800000068</v>
      </c>
      <c r="AC83" s="153">
        <f t="shared" ref="AC83" si="363">AC82*$G$9</f>
        <v>197.53258166666734</v>
      </c>
      <c r="AD83" s="153">
        <f t="shared" ref="AD83" si="364">AD82*$G$9</f>
        <v>158.026065333334</v>
      </c>
      <c r="AE83" s="153">
        <f t="shared" ref="AE83" si="365">AE82*$G$9</f>
        <v>118.51954900000065</v>
      </c>
      <c r="AF83" s="153">
        <f t="shared" ref="AF83" si="366">AF82*$G$9</f>
        <v>79.013032666667314</v>
      </c>
      <c r="AG83" s="153">
        <f t="shared" ref="AG83" si="367">AG82*$G$9</f>
        <v>39.506516333333977</v>
      </c>
      <c r="AH83" s="153">
        <f t="shared" ref="AH83" si="368">AH82*$G$9</f>
        <v>6.3894276536302647E-13</v>
      </c>
    </row>
    <row r="84" spans="3:34" x14ac:dyDescent="0.35">
      <c r="C84" s="223"/>
      <c r="D84" t="s">
        <v>247</v>
      </c>
      <c r="E84" s="188">
        <f>$E$20*1000000</f>
        <v>24000000</v>
      </c>
      <c r="F84" s="188">
        <f>E84+((($F$20-$E$20)*1000000)/($F$17-$E$17))</f>
        <v>23229911.111111112</v>
      </c>
      <c r="G84" s="188">
        <f t="shared" ref="G84:M84" si="369">F84+((($F$20-$E$20)*1000000)/($F$17-$E$17))</f>
        <v>22459822.222222224</v>
      </c>
      <c r="H84" s="188">
        <f t="shared" si="369"/>
        <v>21689733.333333336</v>
      </c>
      <c r="I84" s="188">
        <f t="shared" si="369"/>
        <v>20919644.444444448</v>
      </c>
      <c r="J84" s="188">
        <f t="shared" si="369"/>
        <v>20149555.55555556</v>
      </c>
      <c r="K84" s="188">
        <f t="shared" si="369"/>
        <v>19379466.666666672</v>
      </c>
      <c r="L84" s="188">
        <f t="shared" si="369"/>
        <v>18609377.777777784</v>
      </c>
      <c r="M84" s="188">
        <f t="shared" si="369"/>
        <v>17839288.888888896</v>
      </c>
      <c r="N84" s="188">
        <f>$F$20*1000000</f>
        <v>17069200</v>
      </c>
      <c r="O84" s="188">
        <f>N84+((($G$20-$F$20)*1000000)/($G$17-$F$17))</f>
        <v>16551413</v>
      </c>
      <c r="P84" s="188">
        <f t="shared" ref="P84:W84" si="370">O84+((($G$20-$F$20)*1000000)/($G$17-$F$17))</f>
        <v>16033626</v>
      </c>
      <c r="Q84" s="188">
        <f t="shared" si="370"/>
        <v>15515839</v>
      </c>
      <c r="R84" s="188">
        <f t="shared" si="370"/>
        <v>14998052</v>
      </c>
      <c r="S84" s="188">
        <f t="shared" si="370"/>
        <v>14480265</v>
      </c>
      <c r="T84" s="188">
        <f t="shared" si="370"/>
        <v>13962478</v>
      </c>
      <c r="U84" s="188">
        <f t="shared" si="370"/>
        <v>13444691</v>
      </c>
      <c r="V84" s="188">
        <f t="shared" si="370"/>
        <v>12926904</v>
      </c>
      <c r="W84" s="188">
        <f t="shared" si="370"/>
        <v>12409117</v>
      </c>
      <c r="X84" s="188">
        <f>$G$20*1000000</f>
        <v>11891330</v>
      </c>
      <c r="Y84" s="188">
        <f>X84+((($H$20-$G$20)*1000000)/($H$17-$G$17))</f>
        <v>11664665.9</v>
      </c>
      <c r="Z84" s="188">
        <f t="shared" ref="Z84:AG84" si="371">Y84+((($H$20-$G$20)*1000000)/($H$17-$G$17))</f>
        <v>11438001.800000001</v>
      </c>
      <c r="AA84" s="188">
        <f t="shared" si="371"/>
        <v>11211337.700000001</v>
      </c>
      <c r="AB84" s="188">
        <f t="shared" si="371"/>
        <v>10984673.600000001</v>
      </c>
      <c r="AC84" s="188">
        <f t="shared" si="371"/>
        <v>10758009.500000002</v>
      </c>
      <c r="AD84" s="188">
        <f t="shared" si="371"/>
        <v>10531345.400000002</v>
      </c>
      <c r="AE84" s="188">
        <f t="shared" si="371"/>
        <v>10304681.300000003</v>
      </c>
      <c r="AF84" s="188">
        <f t="shared" si="371"/>
        <v>10078017.200000003</v>
      </c>
      <c r="AG84" s="188">
        <f t="shared" si="371"/>
        <v>9851353.1000000034</v>
      </c>
      <c r="AH84" s="188">
        <f>$H$20*1000000</f>
        <v>9624689</v>
      </c>
    </row>
    <row r="85" spans="3:34" x14ac:dyDescent="0.35">
      <c r="C85" s="223"/>
      <c r="D85" t="s">
        <v>322</v>
      </c>
      <c r="E85" s="211">
        <f>(E81+E83)/E84</f>
        <v>7.7611901680555565E-5</v>
      </c>
      <c r="F85" s="211">
        <f t="shared" ref="F85" si="372">(F81+F83)/F84</f>
        <v>7.8484119688600722E-5</v>
      </c>
      <c r="G85" s="211">
        <f t="shared" ref="G85" si="373">(G81+G83)/G84</f>
        <v>7.9416149870583717E-5</v>
      </c>
      <c r="H85" s="211">
        <f t="shared" ref="H85" si="374">(H81+H83)/H84</f>
        <v>8.0414363078076887E-5</v>
      </c>
      <c r="I85" s="211">
        <f t="shared" ref="I85" si="375">(I81+I83)/I84</f>
        <v>8.1486068251638023E-5</v>
      </c>
      <c r="J85" s="211">
        <f t="shared" ref="J85" si="376">(J81+J83)/J84</f>
        <v>8.2639691683301529E-5</v>
      </c>
      <c r="K85" s="211">
        <f t="shared" ref="K85" si="377">(K81+K83)/K84</f>
        <v>8.3884999019580872E-5</v>
      </c>
      <c r="L85" s="211">
        <f t="shared" ref="L85" si="378">(L81+L83)/L84</f>
        <v>8.5233372385726667E-5</v>
      </c>
      <c r="M85" s="211">
        <f t="shared" ref="M85" si="379">(M81+M83)/M84</f>
        <v>8.6698159287614852E-5</v>
      </c>
      <c r="N85" s="211">
        <f t="shared" ref="N85" si="380">(N81+N83)/N84</f>
        <v>8.829511595934981E-5</v>
      </c>
      <c r="O85" s="211">
        <f t="shared" ref="O85" si="381">(O81+O83)/O84</f>
        <v>8.8670403970948005E-5</v>
      </c>
      <c r="P85" s="211">
        <f t="shared" ref="P85" si="382">(P81+P83)/P84</f>
        <v>8.9069930948038029E-5</v>
      </c>
      <c r="Q85" s="211">
        <f t="shared" ref="Q85" si="383">(Q81+Q83)/Q84</f>
        <v>8.9496123563368628E-5</v>
      </c>
      <c r="R85" s="211">
        <f t="shared" ref="R85" si="384">(R81+R83)/R84</f>
        <v>8.995174359976887E-5</v>
      </c>
      <c r="S85" s="211">
        <f t="shared" ref="S85" si="385">(S81+S83)/S84</f>
        <v>9.0439947864674261E-5</v>
      </c>
      <c r="T85" s="211">
        <f t="shared" ref="T85" si="386">(T81+T83)/T84</f>
        <v>9.0964361435938096E-5</v>
      </c>
      <c r="U85" s="211">
        <f t="shared" ref="U85" si="387">(U81+U83)/U84</f>
        <v>9.1529167832864343E-5</v>
      </c>
      <c r="V85" s="211">
        <f t="shared" ref="V85" si="388">(V81+V83)/V84</f>
        <v>9.2139220858038977E-5</v>
      </c>
      <c r="W85" s="211">
        <f t="shared" ref="W85" si="389">(W81+W83)/W84</f>
        <v>9.2800184439661114E-5</v>
      </c>
      <c r="X85" s="211">
        <f t="shared" ref="X85" si="390">(X81+X83)/X84</f>
        <v>9.3518709009000742E-5</v>
      </c>
      <c r="Y85" s="211">
        <f t="shared" ref="Y85" si="391">(Y81+Y83)/Y84</f>
        <v>9.1949081342026901E-5</v>
      </c>
      <c r="Z85" s="211">
        <f t="shared" ref="Z85" si="392">(Z81+Z83)/Z84</f>
        <v>9.0317243815552989E-5</v>
      </c>
      <c r="AA85" s="211">
        <f t="shared" ref="AA85" si="393">(AA81+AA83)/AA84</f>
        <v>8.8619423264718942E-5</v>
      </c>
      <c r="AB85" s="211">
        <f t="shared" ref="AB85" si="394">(AB81+AB83)/AB84</f>
        <v>8.6851535094012E-5</v>
      </c>
      <c r="AC85" s="211">
        <f t="shared" ref="AC85" si="395">(AC81+AC83)/AC84</f>
        <v>8.5009150469083874E-5</v>
      </c>
      <c r="AD85" s="211">
        <f t="shared" ref="AD85" si="396">(AD81+AD83)/AD84</f>
        <v>8.3087459271823005E-5</v>
      </c>
      <c r="AE85" s="211">
        <f t="shared" ref="AE85" si="397">(AE81+AE83)/AE84</f>
        <v>8.1081228166335155E-5</v>
      </c>
      <c r="AF85" s="211">
        <f t="shared" ref="AF85" si="398">(AF81+AF83)/AF84</f>
        <v>7.8984753006110538E-5</v>
      </c>
      <c r="AG85" s="211">
        <f t="shared" ref="AG85" si="399">(AG81+AG83)/AG84</f>
        <v>7.6791804670974618E-5</v>
      </c>
      <c r="AH85" s="211">
        <f>(AH81+AH83)/AH84</f>
        <v>7.4495567250709848E-5</v>
      </c>
    </row>
    <row r="86" spans="3:34" x14ac:dyDescent="0.35">
      <c r="C86" s="223" t="s">
        <v>70</v>
      </c>
      <c r="D86" t="s">
        <v>294</v>
      </c>
      <c r="E86" s="153">
        <f>$E$64/$E$67</f>
        <v>235.16666666666666</v>
      </c>
      <c r="F86" s="153">
        <f t="shared" ref="F86:AH86" si="400">$E$64/$E$67</f>
        <v>235.16666666666666</v>
      </c>
      <c r="G86" s="153">
        <f t="shared" si="400"/>
        <v>235.16666666666666</v>
      </c>
      <c r="H86" s="153">
        <f t="shared" si="400"/>
        <v>235.16666666666666</v>
      </c>
      <c r="I86" s="153">
        <f t="shared" si="400"/>
        <v>235.16666666666666</v>
      </c>
      <c r="J86" s="153">
        <f t="shared" si="400"/>
        <v>235.16666666666666</v>
      </c>
      <c r="K86" s="153">
        <f t="shared" si="400"/>
        <v>235.16666666666666</v>
      </c>
      <c r="L86" s="153">
        <f t="shared" si="400"/>
        <v>235.16666666666666</v>
      </c>
      <c r="M86" s="153">
        <f t="shared" si="400"/>
        <v>235.16666666666666</v>
      </c>
      <c r="N86" s="153">
        <f t="shared" si="400"/>
        <v>235.16666666666666</v>
      </c>
      <c r="O86" s="153">
        <f t="shared" si="400"/>
        <v>235.16666666666666</v>
      </c>
      <c r="P86" s="153">
        <f t="shared" si="400"/>
        <v>235.16666666666666</v>
      </c>
      <c r="Q86" s="153">
        <f t="shared" si="400"/>
        <v>235.16666666666666</v>
      </c>
      <c r="R86" s="153">
        <f t="shared" si="400"/>
        <v>235.16666666666666</v>
      </c>
      <c r="S86" s="153">
        <f t="shared" si="400"/>
        <v>235.16666666666666</v>
      </c>
      <c r="T86" s="153">
        <f t="shared" si="400"/>
        <v>235.16666666666666</v>
      </c>
      <c r="U86" s="153">
        <f t="shared" si="400"/>
        <v>235.16666666666666</v>
      </c>
      <c r="V86" s="153">
        <f t="shared" si="400"/>
        <v>235.16666666666666</v>
      </c>
      <c r="W86" s="153">
        <f t="shared" si="400"/>
        <v>235.16666666666666</v>
      </c>
      <c r="X86" s="153">
        <f t="shared" si="400"/>
        <v>235.16666666666666</v>
      </c>
      <c r="Y86" s="153">
        <f t="shared" si="400"/>
        <v>235.16666666666666</v>
      </c>
      <c r="Z86" s="153">
        <f t="shared" si="400"/>
        <v>235.16666666666666</v>
      </c>
      <c r="AA86" s="153">
        <f t="shared" si="400"/>
        <v>235.16666666666666</v>
      </c>
      <c r="AB86" s="153">
        <f t="shared" si="400"/>
        <v>235.16666666666666</v>
      </c>
      <c r="AC86" s="153">
        <f t="shared" si="400"/>
        <v>235.16666666666666</v>
      </c>
      <c r="AD86" s="153">
        <f t="shared" si="400"/>
        <v>235.16666666666666</v>
      </c>
      <c r="AE86" s="153">
        <f t="shared" si="400"/>
        <v>235.16666666666666</v>
      </c>
      <c r="AF86" s="153">
        <f t="shared" si="400"/>
        <v>235.16666666666666</v>
      </c>
      <c r="AG86" s="153">
        <f t="shared" si="400"/>
        <v>235.16666666666666</v>
      </c>
      <c r="AH86" s="153">
        <f t="shared" si="400"/>
        <v>235.16666666666666</v>
      </c>
    </row>
    <row r="87" spans="3:34" x14ac:dyDescent="0.35">
      <c r="C87" s="223"/>
      <c r="D87" t="s">
        <v>295</v>
      </c>
      <c r="E87" s="154">
        <f>$E$64-E86</f>
        <v>6819.833333333333</v>
      </c>
      <c r="F87" s="154">
        <f>E87-F86</f>
        <v>6584.6666666666661</v>
      </c>
      <c r="G87" s="154">
        <f>F87-G86</f>
        <v>6349.4999999999991</v>
      </c>
      <c r="H87" s="154">
        <f t="shared" ref="H87" si="401">G87-H86</f>
        <v>6114.3333333333321</v>
      </c>
      <c r="I87" s="154">
        <f t="shared" ref="I87" si="402">H87-I86</f>
        <v>5879.1666666666652</v>
      </c>
      <c r="J87" s="154">
        <f t="shared" ref="J87" si="403">I87-J86</f>
        <v>5643.9999999999982</v>
      </c>
      <c r="K87" s="154">
        <f t="shared" ref="K87" si="404">J87-K86</f>
        <v>5408.8333333333312</v>
      </c>
      <c r="L87" s="154">
        <f t="shared" ref="L87" si="405">K87-L86</f>
        <v>5173.6666666666642</v>
      </c>
      <c r="M87" s="154">
        <f t="shared" ref="M87" si="406">L87-M86</f>
        <v>4938.4999999999973</v>
      </c>
      <c r="N87" s="154">
        <f t="shared" ref="N87" si="407">M87-N86</f>
        <v>4703.3333333333303</v>
      </c>
      <c r="O87" s="154">
        <f t="shared" ref="O87" si="408">N87-O86</f>
        <v>4468.1666666666633</v>
      </c>
      <c r="P87" s="154">
        <f t="shared" ref="P87" si="409">O87-P86</f>
        <v>4232.9999999999964</v>
      </c>
      <c r="Q87" s="154">
        <f t="shared" ref="Q87" si="410">P87-Q86</f>
        <v>3997.8333333333298</v>
      </c>
      <c r="R87" s="154">
        <f t="shared" ref="R87" si="411">Q87-R86</f>
        <v>3762.6666666666633</v>
      </c>
      <c r="S87" s="154">
        <f t="shared" ref="S87" si="412">R87-S86</f>
        <v>3527.4999999999968</v>
      </c>
      <c r="T87" s="154">
        <f t="shared" ref="T87" si="413">S87-T86</f>
        <v>3292.3333333333303</v>
      </c>
      <c r="U87" s="154">
        <f t="shared" ref="U87" si="414">T87-U86</f>
        <v>3057.1666666666638</v>
      </c>
      <c r="V87" s="154">
        <f t="shared" ref="V87" si="415">U87-V86</f>
        <v>2821.9999999999973</v>
      </c>
      <c r="W87" s="154">
        <f t="shared" ref="W87" si="416">V87-W86</f>
        <v>2586.8333333333308</v>
      </c>
      <c r="X87" s="154">
        <f t="shared" ref="X87" si="417">W87-X86</f>
        <v>2351.6666666666642</v>
      </c>
      <c r="Y87" s="154">
        <f t="shared" ref="Y87" si="418">X87-Y86</f>
        <v>2116.4999999999977</v>
      </c>
      <c r="Z87" s="154">
        <f t="shared" ref="Z87" si="419">Y87-Z86</f>
        <v>1881.333333333331</v>
      </c>
      <c r="AA87" s="154">
        <f t="shared" ref="AA87" si="420">Z87-AA86</f>
        <v>1646.1666666666642</v>
      </c>
      <c r="AB87" s="154">
        <f t="shared" ref="AB87" si="421">AA87-AB86</f>
        <v>1410.9999999999975</v>
      </c>
      <c r="AC87" s="154">
        <f t="shared" ref="AC87" si="422">AB87-AC86</f>
        <v>1175.8333333333308</v>
      </c>
      <c r="AD87" s="154">
        <f t="shared" ref="AD87" si="423">AC87-AD86</f>
        <v>940.66666666666413</v>
      </c>
      <c r="AE87" s="154">
        <f t="shared" ref="AE87" si="424">AD87-AE86</f>
        <v>705.4999999999975</v>
      </c>
      <c r="AF87" s="154">
        <f t="shared" ref="AF87" si="425">AE87-AF86</f>
        <v>470.33333333333087</v>
      </c>
      <c r="AG87" s="154">
        <f t="shared" ref="AG87" si="426">AF87-AG86</f>
        <v>235.16666666666421</v>
      </c>
      <c r="AH87" s="154">
        <f t="shared" ref="AH87" si="427">AG87-AH86</f>
        <v>-2.4442670110147446E-12</v>
      </c>
    </row>
    <row r="88" spans="3:34" x14ac:dyDescent="0.35">
      <c r="C88" s="223"/>
      <c r="D88" t="s">
        <v>296</v>
      </c>
      <c r="E88" s="153">
        <f>E87*$G$10</f>
        <v>551.72451666666666</v>
      </c>
      <c r="F88" s="153">
        <f t="shared" ref="F88" si="428">F87*$G$10</f>
        <v>532.69953333333331</v>
      </c>
      <c r="G88" s="153">
        <f t="shared" ref="G88" si="429">G87*$G$10</f>
        <v>513.67454999999995</v>
      </c>
      <c r="H88" s="153">
        <f t="shared" ref="H88" si="430">H87*$G$10</f>
        <v>494.64956666666654</v>
      </c>
      <c r="I88" s="153">
        <f t="shared" ref="I88" si="431">I87*$G$10</f>
        <v>475.62458333333319</v>
      </c>
      <c r="J88" s="153">
        <f t="shared" ref="J88" si="432">J87*$G$10</f>
        <v>456.59959999999984</v>
      </c>
      <c r="K88" s="153">
        <f t="shared" ref="K88" si="433">K87*$G$10</f>
        <v>437.57461666666649</v>
      </c>
      <c r="L88" s="153">
        <f t="shared" ref="L88" si="434">L87*$G$10</f>
        <v>418.54963333333313</v>
      </c>
      <c r="M88" s="153">
        <f t="shared" ref="M88" si="435">M87*$G$10</f>
        <v>399.52464999999978</v>
      </c>
      <c r="N88" s="153">
        <f t="shared" ref="N88" si="436">N87*$G$10</f>
        <v>380.49966666666643</v>
      </c>
      <c r="O88" s="153">
        <f t="shared" ref="O88" si="437">O87*$G$10</f>
        <v>361.47468333333308</v>
      </c>
      <c r="P88" s="153">
        <f t="shared" ref="P88" si="438">P87*$G$10</f>
        <v>342.44969999999972</v>
      </c>
      <c r="Q88" s="153">
        <f t="shared" ref="Q88" si="439">Q87*$G$10</f>
        <v>323.42471666666637</v>
      </c>
      <c r="R88" s="153">
        <f t="shared" ref="R88" si="440">R87*$G$10</f>
        <v>304.39973333333307</v>
      </c>
      <c r="S88" s="153">
        <f t="shared" ref="S88" si="441">S87*$G$10</f>
        <v>285.37474999999972</v>
      </c>
      <c r="T88" s="153">
        <f t="shared" ref="T88" si="442">T87*$G$10</f>
        <v>266.34976666666643</v>
      </c>
      <c r="U88" s="153">
        <f t="shared" ref="U88" si="443">U87*$G$10</f>
        <v>247.3247833333331</v>
      </c>
      <c r="V88" s="153">
        <f t="shared" ref="V88" si="444">V87*$G$10</f>
        <v>228.29979999999978</v>
      </c>
      <c r="W88" s="153">
        <f t="shared" ref="W88" si="445">W87*$G$10</f>
        <v>209.27481666666645</v>
      </c>
      <c r="X88" s="153">
        <f t="shared" ref="X88" si="446">X87*$G$10</f>
        <v>190.24983333333313</v>
      </c>
      <c r="Y88" s="153">
        <f t="shared" ref="Y88" si="447">Y87*$G$10</f>
        <v>171.2248499999998</v>
      </c>
      <c r="Z88" s="153">
        <f t="shared" ref="Z88" si="448">Z87*$G$10</f>
        <v>152.19986666666648</v>
      </c>
      <c r="AA88" s="153">
        <f t="shared" ref="AA88" si="449">AA87*$G$10</f>
        <v>133.17488333333313</v>
      </c>
      <c r="AB88" s="153">
        <f t="shared" ref="AB88" si="450">AB87*$G$10</f>
        <v>114.1498999999998</v>
      </c>
      <c r="AC88" s="153">
        <f t="shared" ref="AC88" si="451">AC87*$G$10</f>
        <v>95.124916666666451</v>
      </c>
      <c r="AD88" s="153">
        <f t="shared" ref="AD88" si="452">AD87*$G$10</f>
        <v>76.099933333333126</v>
      </c>
      <c r="AE88" s="153">
        <f t="shared" ref="AE88" si="453">AE87*$G$10</f>
        <v>57.074949999999795</v>
      </c>
      <c r="AF88" s="153">
        <f t="shared" ref="AF88" si="454">AF87*$G$10</f>
        <v>38.049966666666464</v>
      </c>
      <c r="AG88" s="153">
        <f t="shared" ref="AG88" si="455">AG87*$G$10</f>
        <v>19.024983333333136</v>
      </c>
      <c r="AH88" s="153">
        <f t="shared" ref="AH88" si="456">AH87*$G$10</f>
        <v>-1.9774120119109284E-13</v>
      </c>
    </row>
    <row r="89" spans="3:34" x14ac:dyDescent="0.35">
      <c r="C89" s="223"/>
      <c r="D89" t="s">
        <v>297</v>
      </c>
      <c r="E89" s="188">
        <f>$E$21*1000000</f>
        <v>24952000</v>
      </c>
      <c r="F89" s="188">
        <f>E89+((($F$20-$E$20)*1000000)/($F$17-$E$17))</f>
        <v>24181911.111111112</v>
      </c>
      <c r="G89" s="188">
        <f t="shared" ref="G89:M89" si="457">F89+((($F$20-$E$20)*1000000)/($F$17-$E$17))</f>
        <v>23411822.222222224</v>
      </c>
      <c r="H89" s="188">
        <f t="shared" si="457"/>
        <v>22641733.333333336</v>
      </c>
      <c r="I89" s="188">
        <f t="shared" si="457"/>
        <v>21871644.444444448</v>
      </c>
      <c r="J89" s="188">
        <f t="shared" si="457"/>
        <v>21101555.55555556</v>
      </c>
      <c r="K89" s="188">
        <f t="shared" si="457"/>
        <v>20331466.666666672</v>
      </c>
      <c r="L89" s="188">
        <f t="shared" si="457"/>
        <v>19561377.777777784</v>
      </c>
      <c r="M89" s="188">
        <f t="shared" si="457"/>
        <v>18791288.888888896</v>
      </c>
      <c r="N89" s="188">
        <f>$F$21*1000000</f>
        <v>15737500</v>
      </c>
      <c r="O89" s="188">
        <f>N89+((($G$21-$F$21)*1000000)/($G$17-$F$17))</f>
        <v>15026550</v>
      </c>
      <c r="P89" s="188">
        <f t="shared" ref="P89:W89" si="458">O89+((($G$21-$F$21)*1000000)/($G$17-$F$17))</f>
        <v>14315600</v>
      </c>
      <c r="Q89" s="188">
        <f t="shared" si="458"/>
        <v>13604650</v>
      </c>
      <c r="R89" s="188">
        <f t="shared" si="458"/>
        <v>12893700</v>
      </c>
      <c r="S89" s="188">
        <f t="shared" si="458"/>
        <v>12182750</v>
      </c>
      <c r="T89" s="188">
        <f t="shared" si="458"/>
        <v>11471800</v>
      </c>
      <c r="U89" s="188">
        <f t="shared" si="458"/>
        <v>10760850</v>
      </c>
      <c r="V89" s="188">
        <f t="shared" si="458"/>
        <v>10049900</v>
      </c>
      <c r="W89" s="188">
        <f t="shared" si="458"/>
        <v>9338950</v>
      </c>
      <c r="X89" s="188">
        <f>$G$21*1000000</f>
        <v>8628000</v>
      </c>
      <c r="Y89" s="188">
        <f>X89+((($H$21-$G$21)*1000000)/($H$17-$G$17))</f>
        <v>8236600</v>
      </c>
      <c r="Z89" s="188">
        <f t="shared" ref="Z89:AG89" si="459">Y89+((($H$21-$G$21)*1000000)/($H$17-$G$17))</f>
        <v>7845200</v>
      </c>
      <c r="AA89" s="188">
        <f t="shared" si="459"/>
        <v>7453800</v>
      </c>
      <c r="AB89" s="188">
        <f t="shared" si="459"/>
        <v>7062400</v>
      </c>
      <c r="AC89" s="188">
        <f t="shared" si="459"/>
        <v>6671000</v>
      </c>
      <c r="AD89" s="188">
        <f t="shared" si="459"/>
        <v>6279600</v>
      </c>
      <c r="AE89" s="188">
        <f t="shared" si="459"/>
        <v>5888200</v>
      </c>
      <c r="AF89" s="188">
        <f t="shared" si="459"/>
        <v>5496800</v>
      </c>
      <c r="AG89" s="188">
        <f t="shared" si="459"/>
        <v>5105400</v>
      </c>
      <c r="AH89" s="188">
        <f>$H$21*1000000</f>
        <v>4714000</v>
      </c>
    </row>
    <row r="90" spans="3:34" x14ac:dyDescent="0.35">
      <c r="C90" s="223"/>
      <c r="D90" t="s">
        <v>322</v>
      </c>
      <c r="E90" s="211">
        <f>(E86+E88)/E89</f>
        <v>3.1536196831249329E-5</v>
      </c>
      <c r="F90" s="211">
        <f t="shared" ref="F90" si="460">(F86+F88)/F89</f>
        <v>3.1753743385781472E-5</v>
      </c>
      <c r="G90" s="211">
        <f t="shared" ref="G90" si="461">(G86+G88)/G89</f>
        <v>3.198560152895213E-5</v>
      </c>
      <c r="H90" s="211">
        <f t="shared" ref="H90" si="462">(H86+H88)/H89</f>
        <v>3.2233231554710174E-5</v>
      </c>
      <c r="I90" s="211">
        <f t="shared" ref="I90" si="463">(I86+I88)/I89</f>
        <v>3.2498299421676356E-5</v>
      </c>
      <c r="J90" s="211">
        <f t="shared" ref="J90" si="464">(J86+J88)/J89</f>
        <v>3.2782714281200951E-5</v>
      </c>
      <c r="K90" s="211">
        <f t="shared" ref="K90" si="465">(K86+K88)/K89</f>
        <v>3.308867453405557E-5</v>
      </c>
      <c r="L90" s="211">
        <f>(L86+L88)/L89</f>
        <v>3.3418724766035548E-5</v>
      </c>
      <c r="M90" s="211">
        <f t="shared" ref="M90" si="466">(M86+M88)/M89</f>
        <v>3.3775826683285853E-5</v>
      </c>
      <c r="N90" s="211">
        <f t="shared" ref="N90" si="467">(N86+N88)/N89</f>
        <v>3.9120974318241977E-5</v>
      </c>
      <c r="O90" s="211">
        <f t="shared" ref="O90" si="468">(O86+O88)/O89</f>
        <v>3.9705810715034371E-5</v>
      </c>
      <c r="P90" s="211">
        <f t="shared" ref="P90" si="469">(P86+P88)/P89</f>
        <v>4.0348736110723016E-5</v>
      </c>
      <c r="Q90" s="211">
        <f t="shared" ref="Q90" si="470">(Q86+Q88)/Q89</f>
        <v>4.105885732696784E-5</v>
      </c>
      <c r="R90" s="211">
        <f t="shared" ref="R90" si="471">(R86+R88)/R89</f>
        <v>4.1847289761666526E-5</v>
      </c>
      <c r="S90" s="211">
        <f t="shared" ref="S90" si="472">(S86+S88)/S89</f>
        <v>4.2727743462409257E-5</v>
      </c>
      <c r="T90" s="211">
        <f t="shared" ref="T90" si="473">(T86+T88)/T89</f>
        <v>4.3717327126809488E-5</v>
      </c>
      <c r="U90" s="211">
        <f t="shared" ref="U90" si="474">(U86+U88)/U89</f>
        <v>4.4837670815967117E-5</v>
      </c>
      <c r="V90" s="211">
        <f t="shared" ref="V90" si="475">(V86+V88)/V89</f>
        <v>4.6116525205889254E-5</v>
      </c>
      <c r="W90" s="211">
        <f t="shared" ref="W90" si="476">(W86+W88)/W89</f>
        <v>4.7590091320044879E-5</v>
      </c>
      <c r="X90" s="211">
        <f t="shared" ref="X90" si="477">(X86+X88)/X89</f>
        <v>4.9306502086230853E-5</v>
      </c>
      <c r="Y90" s="211">
        <f t="shared" ref="Y90" si="478">(Y86+Y88)/Y89</f>
        <v>4.9339717440044009E-5</v>
      </c>
      <c r="Z90" s="211">
        <f t="shared" ref="Z90" si="479">(Z86+Z88)/Z89</f>
        <v>4.9376247047026604E-5</v>
      </c>
      <c r="AA90" s="211">
        <f t="shared" ref="AA90" si="480">(AA86+AA88)/AA89</f>
        <v>4.9416613002763658E-5</v>
      </c>
      <c r="AB90" s="211">
        <f t="shared" ref="AB90" si="481">(AB86+AB88)/AB89</f>
        <v>4.9461453141519377E-5</v>
      </c>
      <c r="AC90" s="211">
        <f t="shared" ref="AC90" si="482">(AC86+AC88)/AC89</f>
        <v>4.9511554989256951E-5</v>
      </c>
      <c r="AD90" s="211">
        <f t="shared" ref="AD90" si="483">(AD86+AD88)/AD89</f>
        <v>4.9567902414166479E-5</v>
      </c>
      <c r="AE90" s="211">
        <f t="shared" ref="AE90" si="484">(AE86+AE88)/AE89</f>
        <v>4.9631740882895703E-5</v>
      </c>
      <c r="AF90" s="211">
        <f t="shared" ref="AF90" si="485">(AF86+AF88)/AF89</f>
        <v>4.9704670596225641E-5</v>
      </c>
      <c r="AG90" s="211">
        <f t="shared" ref="AG90" si="486">(AG86+AG88)/AG89</f>
        <v>4.9788782465624593E-5</v>
      </c>
      <c r="AH90" s="211">
        <f>(AH86+AH88)/AH89</f>
        <v>4.9886861830009853E-5</v>
      </c>
    </row>
    <row r="93" spans="3:34" ht="15" thickBot="1" x14ac:dyDescent="0.4">
      <c r="C93" s="1" t="s">
        <v>138</v>
      </c>
      <c r="D93" s="1"/>
      <c r="E93" s="1"/>
      <c r="F93" s="1"/>
      <c r="G93" s="1"/>
      <c r="H93" s="1"/>
      <c r="I93" s="1"/>
      <c r="J93" s="1"/>
      <c r="K93" s="1"/>
      <c r="L93" s="1"/>
      <c r="M93" s="1"/>
      <c r="N93" s="1"/>
      <c r="O93" s="1"/>
      <c r="P93" s="1"/>
      <c r="Q93" s="1"/>
      <c r="R93" s="1"/>
      <c r="S93" s="1"/>
    </row>
    <row r="95" spans="3:34" s="99" customFormat="1" x14ac:dyDescent="0.35">
      <c r="C95" s="143"/>
      <c r="D95" s="143"/>
      <c r="E95" s="224">
        <v>2030</v>
      </c>
      <c r="F95" s="224"/>
      <c r="G95" s="224"/>
      <c r="H95" s="224"/>
      <c r="I95" s="224">
        <v>2040</v>
      </c>
      <c r="J95" s="224"/>
      <c r="K95" s="224"/>
      <c r="L95" s="224"/>
      <c r="M95" s="224">
        <v>2050</v>
      </c>
      <c r="N95" s="224"/>
      <c r="O95" s="224"/>
      <c r="P95" s="224"/>
    </row>
    <row r="96" spans="3:34" s="99" customFormat="1" x14ac:dyDescent="0.35">
      <c r="C96" s="143"/>
      <c r="D96" s="143"/>
      <c r="E96" s="143" t="s">
        <v>67</v>
      </c>
      <c r="F96" s="143" t="s">
        <v>68</v>
      </c>
      <c r="G96" s="143" t="s">
        <v>69</v>
      </c>
      <c r="H96" s="143" t="s">
        <v>70</v>
      </c>
      <c r="I96" s="143" t="s">
        <v>67</v>
      </c>
      <c r="J96" s="143" t="s">
        <v>68</v>
      </c>
      <c r="K96" s="143" t="s">
        <v>69</v>
      </c>
      <c r="L96" s="143" t="s">
        <v>70</v>
      </c>
      <c r="M96" s="143" t="s">
        <v>67</v>
      </c>
      <c r="N96" s="143" t="s">
        <v>68</v>
      </c>
      <c r="O96" s="143" t="s">
        <v>69</v>
      </c>
      <c r="P96" s="143" t="s">
        <v>70</v>
      </c>
    </row>
    <row r="97" spans="3:16" s="99" customFormat="1" x14ac:dyDescent="0.35">
      <c r="C97" s="248" t="s">
        <v>138</v>
      </c>
      <c r="D97" s="144" t="s">
        <v>323</v>
      </c>
      <c r="E97" s="189">
        <f>AVERAGE(E41:N41)</f>
        <v>1.270393785325681E-5</v>
      </c>
      <c r="F97" s="189">
        <f>AVERAGE(E46:N46)</f>
        <v>2.1499514994433419E-5</v>
      </c>
      <c r="G97" s="189">
        <f>AVERAGE(E51:N51)</f>
        <v>1.3261782863985812E-5</v>
      </c>
      <c r="H97" s="189">
        <f>AVERAGE(E56:N56)</f>
        <v>6.5214553142124338E-6</v>
      </c>
      <c r="I97" s="189">
        <f>AVERAGE(O41:X41)</f>
        <v>1.6121497326487674E-5</v>
      </c>
      <c r="J97" s="189">
        <f>AVERAGE(O46:X46)</f>
        <v>1.9177637765382067E-5</v>
      </c>
      <c r="K97" s="189">
        <f>AVERAGE(O51:X51)</f>
        <v>1.4620134827867101E-5</v>
      </c>
      <c r="L97" s="189">
        <f>AVERAGE(O56:X56)</f>
        <v>8.5839876285678754E-6</v>
      </c>
      <c r="M97" s="189">
        <f>AVERAGE(Y41:AH41)</f>
        <v>1.7889930298230165E-5</v>
      </c>
      <c r="N97" s="189">
        <f>AVERAGE(Y46:AH46)</f>
        <v>2.0330440789894009E-5</v>
      </c>
      <c r="O97" s="189">
        <f>AVERAGE(Y51:AH51)</f>
        <v>1.3471343414294264E-5</v>
      </c>
      <c r="P97" s="189">
        <f>AVERAGE(Y56:AH56)</f>
        <v>9.731034417805859E-6</v>
      </c>
    </row>
    <row r="98" spans="3:16" s="99" customFormat="1" x14ac:dyDescent="0.35">
      <c r="C98" s="248"/>
      <c r="D98" s="144" t="s">
        <v>324</v>
      </c>
      <c r="E98" s="189">
        <f>AVERAGE(E75:N75)</f>
        <v>6.4334982847080331E-5</v>
      </c>
      <c r="F98" s="189">
        <f>AVERAGE(E80:N80)</f>
        <v>1.0880359383322806E-4</v>
      </c>
      <c r="G98" s="189">
        <f>AVERAGE(E85:N85)</f>
        <v>8.2416394090502858E-5</v>
      </c>
      <c r="H98" s="189">
        <f>AVERAGE(E90:N90)</f>
        <v>3.3219398730518934E-5</v>
      </c>
      <c r="I98" s="189">
        <f>AVERAGE(O75:X75)</f>
        <v>8.1642107033996753E-5</v>
      </c>
      <c r="J98" s="189">
        <f>AVERAGE(O80:X80)</f>
        <v>9.7053161926939299E-5</v>
      </c>
      <c r="K98" s="189">
        <f>AVERAGE(O85:X85)</f>
        <v>9.0857979352230105E-5</v>
      </c>
      <c r="L98" s="189">
        <f>AVERAGE(O90:X90)</f>
        <v>4.372565539317426E-5</v>
      </c>
      <c r="M98" s="189">
        <f>AVERAGE(Y75:AH75)</f>
        <v>9.0597763635709205E-5</v>
      </c>
      <c r="N98" s="189">
        <f>AVERAGE(Y80:AH80)</f>
        <v>1.0288720572193612E-4</v>
      </c>
      <c r="O98" s="189">
        <f>AVERAGE(Y85:AH85)</f>
        <v>8.3718724635134788E-5</v>
      </c>
      <c r="P98" s="189">
        <f>AVERAGE(Y90:AH90)</f>
        <v>4.9568554380953291E-5</v>
      </c>
    </row>
    <row r="100" spans="3:16" x14ac:dyDescent="0.35">
      <c r="C100" s="9"/>
      <c r="D100" s="9" t="s">
        <v>176</v>
      </c>
    </row>
    <row r="101" spans="3:16" x14ac:dyDescent="0.35">
      <c r="C101" t="s">
        <v>325</v>
      </c>
      <c r="D101" s="119">
        <v>1</v>
      </c>
    </row>
    <row r="102" spans="3:16" x14ac:dyDescent="0.35">
      <c r="C102" t="s">
        <v>330</v>
      </c>
      <c r="D102" s="210">
        <v>1000000</v>
      </c>
    </row>
    <row r="104" spans="3:16" x14ac:dyDescent="0.35">
      <c r="C104" s="143"/>
      <c r="D104" s="143"/>
      <c r="E104" s="224">
        <v>2030</v>
      </c>
      <c r="F104" s="224"/>
      <c r="G104" s="224"/>
      <c r="H104" s="224"/>
      <c r="I104" s="224">
        <v>2040</v>
      </c>
      <c r="J104" s="224"/>
      <c r="K104" s="224"/>
      <c r="L104" s="224"/>
      <c r="M104" s="224">
        <v>2050</v>
      </c>
      <c r="N104" s="224"/>
      <c r="O104" s="224"/>
      <c r="P104" s="224"/>
    </row>
    <row r="105" spans="3:16" x14ac:dyDescent="0.35">
      <c r="C105" s="143"/>
      <c r="D105" s="143"/>
      <c r="E105" s="143" t="s">
        <v>67</v>
      </c>
      <c r="F105" s="143" t="s">
        <v>68</v>
      </c>
      <c r="G105" s="143" t="s">
        <v>69</v>
      </c>
      <c r="H105" s="143" t="s">
        <v>70</v>
      </c>
      <c r="I105" s="143" t="s">
        <v>67</v>
      </c>
      <c r="J105" s="143" t="s">
        <v>68</v>
      </c>
      <c r="K105" s="143" t="s">
        <v>69</v>
      </c>
      <c r="L105" s="143" t="s">
        <v>70</v>
      </c>
      <c r="M105" s="143" t="s">
        <v>67</v>
      </c>
      <c r="N105" s="143" t="s">
        <v>68</v>
      </c>
      <c r="O105" s="143" t="s">
        <v>69</v>
      </c>
      <c r="P105" s="143" t="s">
        <v>70</v>
      </c>
    </row>
    <row r="106" spans="3:16" x14ac:dyDescent="0.35">
      <c r="C106" s="248" t="s">
        <v>138</v>
      </c>
      <c r="D106" s="144" t="s">
        <v>331</v>
      </c>
      <c r="E106" s="212">
        <f>E97*$D$102</f>
        <v>12.703937853256809</v>
      </c>
      <c r="F106" s="212">
        <f t="shared" ref="F106:P106" si="487">F97*$D$102</f>
        <v>21.499514994433419</v>
      </c>
      <c r="G106" s="212">
        <f t="shared" si="487"/>
        <v>13.261782863985811</v>
      </c>
      <c r="H106" s="212">
        <f t="shared" si="487"/>
        <v>6.5214553142124334</v>
      </c>
      <c r="I106" s="212">
        <f t="shared" si="487"/>
        <v>16.121497326487674</v>
      </c>
      <c r="J106" s="212">
        <f t="shared" si="487"/>
        <v>19.177637765382066</v>
      </c>
      <c r="K106" s="212">
        <f t="shared" si="487"/>
        <v>14.620134827867101</v>
      </c>
      <c r="L106" s="212">
        <f t="shared" si="487"/>
        <v>8.5839876285678756</v>
      </c>
      <c r="M106" s="212">
        <f t="shared" si="487"/>
        <v>17.889930298230166</v>
      </c>
      <c r="N106" s="212">
        <f t="shared" si="487"/>
        <v>20.330440789894009</v>
      </c>
      <c r="O106" s="212">
        <f t="shared" si="487"/>
        <v>13.471343414294264</v>
      </c>
      <c r="P106" s="212">
        <f t="shared" si="487"/>
        <v>9.7310344178058585</v>
      </c>
    </row>
    <row r="107" spans="3:16" x14ac:dyDescent="0.35">
      <c r="C107" s="248"/>
      <c r="D107" s="144" t="s">
        <v>332</v>
      </c>
      <c r="E107" s="212">
        <f>E98*$D$102</f>
        <v>64.334982847080326</v>
      </c>
      <c r="F107" s="212">
        <f t="shared" ref="F107:P107" si="488">F98*$D$102</f>
        <v>108.80359383322805</v>
      </c>
      <c r="G107" s="212">
        <f t="shared" si="488"/>
        <v>82.416394090502862</v>
      </c>
      <c r="H107" s="212">
        <f t="shared" si="488"/>
        <v>33.219398730518932</v>
      </c>
      <c r="I107" s="212">
        <f t="shared" si="488"/>
        <v>81.642107033996751</v>
      </c>
      <c r="J107" s="212">
        <f t="shared" si="488"/>
        <v>97.053161926939296</v>
      </c>
      <c r="K107" s="212">
        <f t="shared" si="488"/>
        <v>90.857979352230103</v>
      </c>
      <c r="L107" s="212">
        <f t="shared" si="488"/>
        <v>43.725655393174257</v>
      </c>
      <c r="M107" s="212">
        <f t="shared" si="488"/>
        <v>90.5977636357092</v>
      </c>
      <c r="N107" s="212">
        <f t="shared" si="488"/>
        <v>102.88720572193611</v>
      </c>
      <c r="O107" s="212">
        <f t="shared" si="488"/>
        <v>83.718724635134791</v>
      </c>
      <c r="P107" s="212">
        <f t="shared" si="488"/>
        <v>49.568554380953287</v>
      </c>
    </row>
  </sheetData>
  <mergeCells count="18">
    <mergeCell ref="C31:C33"/>
    <mergeCell ref="C65:C67"/>
    <mergeCell ref="C71:C75"/>
    <mergeCell ref="C76:C80"/>
    <mergeCell ref="C81:C85"/>
    <mergeCell ref="C42:C46"/>
    <mergeCell ref="C47:C51"/>
    <mergeCell ref="C52:C56"/>
    <mergeCell ref="C37:C41"/>
    <mergeCell ref="E104:H104"/>
    <mergeCell ref="I104:L104"/>
    <mergeCell ref="M104:P104"/>
    <mergeCell ref="C106:C107"/>
    <mergeCell ref="C86:C90"/>
    <mergeCell ref="E95:H95"/>
    <mergeCell ref="I95:L95"/>
    <mergeCell ref="M95:P95"/>
    <mergeCell ref="C97:C98"/>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CA77-FD19-4624-B4A9-D8A74BF48E57}">
  <sheetPr>
    <tabColor theme="4"/>
  </sheetPr>
  <dimension ref="B2:S19"/>
  <sheetViews>
    <sheetView showGridLines="0" workbookViewId="0"/>
  </sheetViews>
  <sheetFormatPr defaultRowHeight="12" x14ac:dyDescent="0.35"/>
  <cols>
    <col min="2" max="3" width="12.75" customWidth="1"/>
    <col min="4" max="4" width="32" customWidth="1"/>
    <col min="5" max="7" width="16.875" customWidth="1"/>
  </cols>
  <sheetData>
    <row r="2" spans="2:19" ht="16" thickBot="1" x14ac:dyDescent="0.4">
      <c r="B2" s="2" t="s">
        <v>139</v>
      </c>
      <c r="C2" s="2"/>
      <c r="D2" s="2"/>
      <c r="E2" s="2"/>
      <c r="F2" s="2"/>
      <c r="G2" s="2"/>
      <c r="H2" s="2"/>
      <c r="I2" s="2"/>
      <c r="J2" s="2"/>
      <c r="K2" s="2"/>
      <c r="L2" s="2"/>
      <c r="M2" s="2"/>
      <c r="N2" s="2"/>
      <c r="O2" s="2"/>
      <c r="P2" s="2"/>
      <c r="Q2" s="2"/>
      <c r="R2" s="2"/>
      <c r="S2" s="2"/>
    </row>
    <row r="3" spans="2:19" ht="12.5" thickTop="1" x14ac:dyDescent="0.35"/>
    <row r="4" spans="2:19" x14ac:dyDescent="0.35">
      <c r="B4" s="72" t="s">
        <v>143</v>
      </c>
    </row>
    <row r="5" spans="2:19" x14ac:dyDescent="0.35">
      <c r="B5" s="72"/>
    </row>
    <row r="6" spans="2:19" x14ac:dyDescent="0.35">
      <c r="B6" s="9"/>
      <c r="C6" s="9" t="s">
        <v>176</v>
      </c>
    </row>
    <row r="7" spans="2:19" x14ac:dyDescent="0.35">
      <c r="B7" t="s">
        <v>180</v>
      </c>
      <c r="C7" s="119">
        <v>1</v>
      </c>
    </row>
    <row r="8" spans="2:19" x14ac:dyDescent="0.35">
      <c r="B8" t="s">
        <v>175</v>
      </c>
      <c r="C8" s="121">
        <v>0.27777777777778001</v>
      </c>
    </row>
    <row r="10" spans="2:19" x14ac:dyDescent="0.35">
      <c r="C10" s="68"/>
    </row>
    <row r="11" spans="2:19" x14ac:dyDescent="0.35">
      <c r="B11" s="96"/>
      <c r="C11" s="96"/>
      <c r="D11" s="96"/>
      <c r="E11" s="96" t="s">
        <v>301</v>
      </c>
      <c r="F11" s="96" t="s">
        <v>302</v>
      </c>
      <c r="G11" s="96" t="s">
        <v>141</v>
      </c>
    </row>
    <row r="12" spans="2:19" x14ac:dyDescent="0.35">
      <c r="B12" s="223" t="s">
        <v>67</v>
      </c>
      <c r="C12" s="223" t="s">
        <v>140</v>
      </c>
      <c r="D12" s="99" t="s">
        <v>142</v>
      </c>
      <c r="E12" s="103">
        <v>1.07</v>
      </c>
      <c r="F12" s="76">
        <f t="shared" ref="F12:F17" si="0">E12/$C$8</f>
        <v>3.8519999999999692</v>
      </c>
      <c r="G12" s="104">
        <v>0.2</v>
      </c>
    </row>
    <row r="13" spans="2:19" x14ac:dyDescent="0.35">
      <c r="B13" s="223"/>
      <c r="C13" s="223"/>
      <c r="D13" s="99" t="s">
        <v>144</v>
      </c>
      <c r="E13" s="103">
        <v>1.07</v>
      </c>
      <c r="F13" s="76">
        <f t="shared" si="0"/>
        <v>3.8519999999999692</v>
      </c>
      <c r="G13" s="104">
        <v>0.2</v>
      </c>
    </row>
    <row r="14" spans="2:19" x14ac:dyDescent="0.35">
      <c r="B14" s="223" t="s">
        <v>69</v>
      </c>
      <c r="C14" s="223" t="s">
        <v>140</v>
      </c>
      <c r="D14" s="99" t="s">
        <v>142</v>
      </c>
      <c r="E14" s="103">
        <v>0.15</v>
      </c>
      <c r="F14" s="76">
        <f t="shared" si="0"/>
        <v>0.53999999999999559</v>
      </c>
      <c r="G14" s="104">
        <v>0.21</v>
      </c>
    </row>
    <row r="15" spans="2:19" x14ac:dyDescent="0.35">
      <c r="B15" s="223"/>
      <c r="C15" s="223"/>
      <c r="D15" s="99" t="s">
        <v>144</v>
      </c>
      <c r="E15" s="103">
        <v>0.3</v>
      </c>
      <c r="F15" s="76">
        <f t="shared" si="0"/>
        <v>1.0799999999999912</v>
      </c>
      <c r="G15" s="104">
        <v>0.21</v>
      </c>
    </row>
    <row r="16" spans="2:19" x14ac:dyDescent="0.35">
      <c r="B16" s="223" t="s">
        <v>68</v>
      </c>
      <c r="C16" s="223" t="s">
        <v>140</v>
      </c>
      <c r="D16" s="99" t="s">
        <v>142</v>
      </c>
      <c r="E16" s="103">
        <v>0.15</v>
      </c>
      <c r="F16" s="76">
        <f t="shared" si="0"/>
        <v>0.53999999999999559</v>
      </c>
      <c r="G16" s="104">
        <v>0.21</v>
      </c>
    </row>
    <row r="17" spans="2:7" x14ac:dyDescent="0.35">
      <c r="B17" s="223"/>
      <c r="C17" s="223"/>
      <c r="D17" s="99" t="s">
        <v>144</v>
      </c>
      <c r="E17" s="103">
        <v>0.46</v>
      </c>
      <c r="F17" s="76">
        <f t="shared" si="0"/>
        <v>1.6559999999999868</v>
      </c>
      <c r="G17" s="104">
        <v>0.21</v>
      </c>
    </row>
    <row r="18" spans="2:7" x14ac:dyDescent="0.35">
      <c r="B18" s="223" t="s">
        <v>70</v>
      </c>
      <c r="C18" s="223" t="s">
        <v>140</v>
      </c>
      <c r="D18" s="99" t="s">
        <v>142</v>
      </c>
      <c r="E18" s="103">
        <v>5.85</v>
      </c>
      <c r="F18" s="103">
        <v>23.353999999999999</v>
      </c>
      <c r="G18" s="104">
        <v>0.24</v>
      </c>
    </row>
    <row r="19" spans="2:7" x14ac:dyDescent="0.35">
      <c r="B19" s="223"/>
      <c r="C19" s="223"/>
      <c r="D19" s="99" t="s">
        <v>144</v>
      </c>
      <c r="E19" s="103">
        <v>5.85</v>
      </c>
      <c r="F19" s="103">
        <v>23.353999999999999</v>
      </c>
      <c r="G19" s="104">
        <v>0.24</v>
      </c>
    </row>
  </sheetData>
  <mergeCells count="8">
    <mergeCell ref="C18:C19"/>
    <mergeCell ref="B18:B19"/>
    <mergeCell ref="C12:C13"/>
    <mergeCell ref="B12:B13"/>
    <mergeCell ref="C14:C15"/>
    <mergeCell ref="B14:B15"/>
    <mergeCell ref="C16:C17"/>
    <mergeCell ref="B16: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23" ma:contentTypeDescription="Create a new document." ma:contentTypeScope="" ma:versionID="2feae5c6b6578a6501b424cf80bd1763">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fd25caefd1d4592b2b298cb17fbed024"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8" nillable="true" ma:displayName="Taxonomy Catch All Column" ma:hidden="true" ma:list="{3a94f2be-4462-4e83-94ac-4018202ecbfa}" ma:internalName="TaxCatchAll" ma:showField="CatchAllData" ma:web="25b506d0-762b-47aa-adb6-8b80fc2b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d4702b5-1689-4512-8d10-07ea09318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on0 xmlns="14cfccfe-d05c-4ace-ac9c-889a36918eb7" xsi:nil="true"/>
    <Member xmlns="14cfccfe-d05c-4ace-ac9c-889a36918eb7">
      <UserInfo>
        <DisplayName/>
        <AccountId xsi:nil="true"/>
        <AccountType/>
      </UserInfo>
    </Member>
    <TaxCatchAll xmlns="25b506d0-762b-47aa-adb6-8b80fc2be8cf" xsi:nil="true"/>
    <lcf76f155ced4ddcb4097134ff3c332f xmlns="14cfccfe-d05c-4ace-ac9c-889a36918eb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452626-9D1D-4ABB-A9FC-A3AB3C223598}">
  <ds:schemaRefs>
    <ds:schemaRef ds:uri="http://schemas.microsoft.com/sharepoint/v3/contenttype/forms"/>
  </ds:schemaRefs>
</ds:datastoreItem>
</file>

<file path=customXml/itemProps2.xml><?xml version="1.0" encoding="utf-8"?>
<ds:datastoreItem xmlns:ds="http://schemas.openxmlformats.org/officeDocument/2006/customXml" ds:itemID="{00F5EB8D-750E-4036-B805-339E2F4DB52F}"/>
</file>

<file path=customXml/itemProps3.xml><?xml version="1.0" encoding="utf-8"?>
<ds:datastoreItem xmlns:ds="http://schemas.openxmlformats.org/officeDocument/2006/customXml" ds:itemID="{D584A352-2614-4D84-84F2-489523D6EC42}">
  <ds:schemaRef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terms/"/>
    <ds:schemaRef ds:uri="http://purl.org/dc/elements/1.1/"/>
    <ds:schemaRef ds:uri="http://schemas.microsoft.com/office/2006/metadata/properties"/>
    <ds:schemaRef ds:uri="14cfccfe-d05c-4ace-ac9c-889a36918eb7"/>
    <ds:schemaRef ds:uri="25b506d0-762b-47aa-adb6-8b80fc2be8cf"/>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Intro</vt:lpstr>
      <vt:lpstr>Average cost</vt:lpstr>
      <vt:lpstr>Assumptions</vt:lpstr>
      <vt:lpstr>Gas supply</vt:lpstr>
      <vt:lpstr>LCOE</vt:lpstr>
      <vt:lpstr>Investments_2</vt:lpstr>
      <vt:lpstr>Investments</vt:lpstr>
      <vt:lpstr>Network tariffs</vt:lpstr>
      <vt:lpstr>Taxes</vt:lpstr>
      <vt:lpstr>Consumption</vt:lpstr>
      <vt:lpstr>HH_consumption (2)</vt:lpstr>
      <vt:lpstr>HH_consumption</vt:lpstr>
      <vt:lpstr>COM_consumption</vt:lpstr>
      <vt:lpstr>Sheet2</vt:lpstr>
      <vt:lpstr>Consumption_2</vt:lpstr>
      <vt:lpstr>Sheet1</vt:lpstr>
      <vt:lpstr>Charts</vt:lpstr>
      <vt:lpstr>Styles</vt:lpstr>
      <vt:lpstr>consumpt2</vt:lpstr>
    </vt:vector>
  </TitlesOfParts>
  <Company>Econcern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Aeby</dc:creator>
  <cp:lastModifiedBy>Louise  Aeby</cp:lastModifiedBy>
  <cp:lastPrinted>2013-11-28T20:32:51Z</cp:lastPrinted>
  <dcterms:created xsi:type="dcterms:W3CDTF">2011-01-19T10:59:21Z</dcterms:created>
  <dcterms:modified xsi:type="dcterms:W3CDTF">2023-03-31T14:31:55Z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y fmtid="{D5CDD505-2E9C-101B-9397-08002B2CF9AE}" pid="3" name="MediaServiceImageTags">
    <vt:lpwstr/>
  </property>
</Properties>
</file>