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anus\Dropbox\Töö Arengufond\ENMAK2030\Stsenaariumid\Soojusmajandus\Energiatalgutes\"/>
    </mc:Choice>
  </mc:AlternateContent>
  <bookViews>
    <workbookView xWindow="1128" yWindow="192" windowWidth="15156" windowHeight="7908"/>
  </bookViews>
  <sheets>
    <sheet name="Muutused" sheetId="1" r:id="rId1"/>
    <sheet name="Välismõjud" sheetId="2" r:id="rId2"/>
    <sheet name="Inv.sääst.EUR 2030" sheetId="3" r:id="rId3"/>
    <sheet name="2050" sheetId="4" r:id="rId4"/>
    <sheet name="Tarbimine ja tootmine" sheetId="5" r:id="rId5"/>
    <sheet name="Kütuste kulu" sheetId="6" r:id="rId6"/>
    <sheet name="Tootmiskulud" sheetId="7" r:id="rId7"/>
    <sheet name="Maksutulu" sheetId="8" r:id="rId8"/>
  </sheets>
  <calcPr calcId="152511"/>
</workbook>
</file>

<file path=xl/calcChain.xml><?xml version="1.0" encoding="utf-8"?>
<calcChain xmlns="http://schemas.openxmlformats.org/spreadsheetml/2006/main">
  <c r="T15" i="8" l="1"/>
  <c r="S15" i="8"/>
  <c r="Q15" i="8"/>
  <c r="P15" i="8"/>
  <c r="O15" i="8"/>
  <c r="N15" i="8"/>
  <c r="M15" i="8"/>
  <c r="L15" i="8"/>
  <c r="K15" i="8"/>
  <c r="J15" i="8"/>
  <c r="I15" i="8"/>
  <c r="H15" i="8"/>
  <c r="G15" i="8"/>
  <c r="F15" i="8"/>
  <c r="T32" i="8"/>
  <c r="S32" i="8"/>
  <c r="R32" i="8"/>
  <c r="Q32" i="8"/>
  <c r="O32" i="8"/>
  <c r="N32" i="8"/>
  <c r="M32" i="8"/>
  <c r="L32" i="8"/>
  <c r="K32" i="8"/>
  <c r="J32" i="8"/>
  <c r="I32" i="8"/>
  <c r="H32" i="8"/>
  <c r="G32" i="8"/>
  <c r="F32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O50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2" i="8"/>
  <c r="E41" i="8" s="1"/>
  <c r="E46" i="8" s="1"/>
  <c r="E43" i="8"/>
  <c r="G44" i="8"/>
  <c r="E9" i="8"/>
  <c r="E26" i="8"/>
  <c r="E44" i="8"/>
  <c r="F45" i="8"/>
  <c r="G45" i="8" s="1"/>
  <c r="P32" i="8"/>
  <c r="R15" i="8"/>
  <c r="G42" i="8" l="1"/>
  <c r="G43" i="8"/>
  <c r="H45" i="8"/>
  <c r="F44" i="8"/>
  <c r="F43" i="8"/>
  <c r="F42" i="8"/>
  <c r="T29" i="8"/>
  <c r="S29" i="8"/>
  <c r="R29" i="8"/>
  <c r="Q29" i="8"/>
  <c r="P29" i="8"/>
  <c r="O29" i="8"/>
  <c r="N29" i="8"/>
  <c r="M29" i="8"/>
  <c r="L29" i="8"/>
  <c r="K29" i="8"/>
  <c r="J29" i="8"/>
  <c r="F24" i="8"/>
  <c r="E24" i="8"/>
  <c r="E25" i="8"/>
  <c r="G27" i="8"/>
  <c r="F27" i="8"/>
  <c r="F26" i="8" s="1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E8" i="8"/>
  <c r="E7" i="8"/>
  <c r="E6" i="8" s="1"/>
  <c r="E11" i="8" s="1"/>
  <c r="F10" i="8"/>
  <c r="G10" i="8" l="1"/>
  <c r="F9" i="8"/>
  <c r="G41" i="8"/>
  <c r="G46" i="8" s="1"/>
  <c r="G51" i="8" s="1"/>
  <c r="G24" i="8"/>
  <c r="G26" i="8"/>
  <c r="F23" i="8"/>
  <c r="F28" i="8" s="1"/>
  <c r="F33" i="8" s="1"/>
  <c r="H42" i="8"/>
  <c r="H43" i="8"/>
  <c r="H44" i="8"/>
  <c r="I45" i="8"/>
  <c r="E23" i="8"/>
  <c r="E28" i="8" s="1"/>
  <c r="F25" i="8"/>
  <c r="F41" i="8"/>
  <c r="F46" i="8" s="1"/>
  <c r="F51" i="8" s="1"/>
  <c r="G8" i="8"/>
  <c r="G7" i="8"/>
  <c r="F7" i="8"/>
  <c r="F6" i="8" s="1"/>
  <c r="F11" i="8" s="1"/>
  <c r="F16" i="8" s="1"/>
  <c r="H27" i="8"/>
  <c r="H26" i="8" s="1"/>
  <c r="G25" i="8"/>
  <c r="F8" i="8"/>
  <c r="V12" i="7"/>
  <c r="W12" i="7" s="1"/>
  <c r="V6" i="7"/>
  <c r="V38" i="7"/>
  <c r="V32" i="7"/>
  <c r="W38" i="7" s="1"/>
  <c r="V26" i="7"/>
  <c r="V20" i="7"/>
  <c r="W26" i="7" s="1"/>
  <c r="H41" i="8" l="1"/>
  <c r="H46" i="8" s="1"/>
  <c r="H51" i="8" s="1"/>
  <c r="I44" i="8"/>
  <c r="J45" i="8"/>
  <c r="I42" i="8"/>
  <c r="I43" i="8"/>
  <c r="G23" i="8"/>
  <c r="G28" i="8" s="1"/>
  <c r="G33" i="8" s="1"/>
  <c r="H10" i="8"/>
  <c r="G9" i="8"/>
  <c r="G6" i="8" s="1"/>
  <c r="G11" i="8" s="1"/>
  <c r="G16" i="8" s="1"/>
  <c r="H25" i="8"/>
  <c r="H24" i="8"/>
  <c r="I27" i="8"/>
  <c r="I26" i="8" s="1"/>
  <c r="T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V40" i="7" s="1"/>
  <c r="T34" i="7"/>
  <c r="S34" i="7"/>
  <c r="S35" i="7" s="1"/>
  <c r="R34" i="7"/>
  <c r="Q34" i="7"/>
  <c r="P34" i="7"/>
  <c r="O34" i="7"/>
  <c r="N34" i="7"/>
  <c r="M34" i="7"/>
  <c r="L34" i="7"/>
  <c r="L35" i="7" s="1"/>
  <c r="K34" i="7"/>
  <c r="J34" i="7"/>
  <c r="I34" i="7"/>
  <c r="H34" i="7"/>
  <c r="G34" i="7"/>
  <c r="G35" i="7" s="1"/>
  <c r="F34" i="7"/>
  <c r="E34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V28" i="7" s="1"/>
  <c r="J24" i="7"/>
  <c r="J22" i="7"/>
  <c r="H22" i="7"/>
  <c r="H24" i="7" s="1"/>
  <c r="J23" i="7"/>
  <c r="I23" i="7"/>
  <c r="H23" i="7"/>
  <c r="E23" i="7"/>
  <c r="E24" i="7" s="1"/>
  <c r="T22" i="7"/>
  <c r="S22" i="7"/>
  <c r="S23" i="7" s="1"/>
  <c r="S24" i="7" s="1"/>
  <c r="R22" i="7"/>
  <c r="R23" i="7" s="1"/>
  <c r="R24" i="7" s="1"/>
  <c r="Q22" i="7"/>
  <c r="P22" i="7"/>
  <c r="O22" i="7"/>
  <c r="O23" i="7" s="1"/>
  <c r="O24" i="7" s="1"/>
  <c r="N22" i="7"/>
  <c r="N23" i="7" s="1"/>
  <c r="N24" i="7" s="1"/>
  <c r="M22" i="7"/>
  <c r="L22" i="7"/>
  <c r="K22" i="7"/>
  <c r="K23" i="7" s="1"/>
  <c r="K24" i="7" s="1"/>
  <c r="I22" i="7"/>
  <c r="I24" i="7" s="1"/>
  <c r="G22" i="7"/>
  <c r="F22" i="7"/>
  <c r="E22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V14" i="7" s="1"/>
  <c r="K36" i="7" l="1"/>
  <c r="F24" i="7"/>
  <c r="I36" i="7"/>
  <c r="M24" i="7"/>
  <c r="J36" i="7"/>
  <c r="P23" i="7"/>
  <c r="P24" i="7" s="1"/>
  <c r="T23" i="7"/>
  <c r="T24" i="7" s="1"/>
  <c r="K35" i="7"/>
  <c r="O35" i="7"/>
  <c r="O36" i="7" s="1"/>
  <c r="G36" i="7"/>
  <c r="S36" i="7"/>
  <c r="M23" i="7"/>
  <c r="Q23" i="7"/>
  <c r="Q24" i="7" s="1"/>
  <c r="H35" i="7"/>
  <c r="H36" i="7" s="1"/>
  <c r="P35" i="7"/>
  <c r="P36" i="7" s="1"/>
  <c r="T35" i="7"/>
  <c r="T36" i="7" s="1"/>
  <c r="L36" i="7"/>
  <c r="G23" i="7"/>
  <c r="G24" i="7" s="1"/>
  <c r="F35" i="7"/>
  <c r="F36" i="7" s="1"/>
  <c r="J35" i="7"/>
  <c r="N35" i="7"/>
  <c r="N36" i="7" s="1"/>
  <c r="R35" i="7"/>
  <c r="R36" i="7" s="1"/>
  <c r="K45" i="8"/>
  <c r="J44" i="8"/>
  <c r="J42" i="8"/>
  <c r="J43" i="8"/>
  <c r="L23" i="7"/>
  <c r="L24" i="7" s="1"/>
  <c r="H23" i="8"/>
  <c r="H28" i="8" s="1"/>
  <c r="H33" i="8" s="1"/>
  <c r="I10" i="8"/>
  <c r="H9" i="8"/>
  <c r="H7" i="8"/>
  <c r="H8" i="8"/>
  <c r="F23" i="7"/>
  <c r="E35" i="7"/>
  <c r="E36" i="7" s="1"/>
  <c r="I35" i="7"/>
  <c r="M35" i="7"/>
  <c r="M36" i="7" s="1"/>
  <c r="Q35" i="7"/>
  <c r="Q36" i="7" s="1"/>
  <c r="I41" i="8"/>
  <c r="I46" i="8" s="1"/>
  <c r="I51" i="8" s="1"/>
  <c r="I24" i="8"/>
  <c r="I25" i="8"/>
  <c r="J27" i="8"/>
  <c r="J26" i="8" s="1"/>
  <c r="T9" i="7"/>
  <c r="T10" i="7" s="1"/>
  <c r="S9" i="7"/>
  <c r="S10" i="7" s="1"/>
  <c r="M9" i="7"/>
  <c r="M10" i="7" s="1"/>
  <c r="L9" i="7"/>
  <c r="K9" i="7"/>
  <c r="I9" i="7"/>
  <c r="H9" i="7"/>
  <c r="H10" i="7" s="1"/>
  <c r="G9" i="7"/>
  <c r="T8" i="7"/>
  <c r="S8" i="7"/>
  <c r="R8" i="7"/>
  <c r="R9" i="7" s="1"/>
  <c r="R10" i="7" s="1"/>
  <c r="Q8" i="7"/>
  <c r="P8" i="7"/>
  <c r="P9" i="7" s="1"/>
  <c r="O8" i="7"/>
  <c r="O9" i="7" s="1"/>
  <c r="N8" i="7"/>
  <c r="M8" i="7"/>
  <c r="L8" i="7"/>
  <c r="K8" i="7"/>
  <c r="J8" i="7"/>
  <c r="I8" i="7"/>
  <c r="I10" i="7" s="1"/>
  <c r="H8" i="7"/>
  <c r="G8" i="7"/>
  <c r="F8" i="7"/>
  <c r="F9" i="7" s="1"/>
  <c r="E8" i="7"/>
  <c r="V36" i="7" l="1"/>
  <c r="V42" i="7" s="1"/>
  <c r="N10" i="7"/>
  <c r="V24" i="7"/>
  <c r="V29" i="7" s="1"/>
  <c r="G10" i="7"/>
  <c r="K10" i="7"/>
  <c r="J10" i="8"/>
  <c r="I9" i="8"/>
  <c r="I7" i="8"/>
  <c r="I8" i="8"/>
  <c r="J9" i="7"/>
  <c r="J10" i="7" s="1"/>
  <c r="N9" i="7"/>
  <c r="H6" i="8"/>
  <c r="H11" i="8" s="1"/>
  <c r="H16" i="8" s="1"/>
  <c r="K42" i="8"/>
  <c r="K43" i="8"/>
  <c r="L45" i="8"/>
  <c r="K44" i="8"/>
  <c r="L10" i="7"/>
  <c r="I23" i="8"/>
  <c r="I28" i="8" s="1"/>
  <c r="I33" i="8" s="1"/>
  <c r="J41" i="8"/>
  <c r="J46" i="8" s="1"/>
  <c r="J51" i="8" s="1"/>
  <c r="J24" i="8"/>
  <c r="K27" i="8"/>
  <c r="K26" i="8" s="1"/>
  <c r="J25" i="8"/>
  <c r="Q9" i="7"/>
  <c r="Q10" i="7" s="1"/>
  <c r="P10" i="7"/>
  <c r="F10" i="7"/>
  <c r="O10" i="7"/>
  <c r="V8" i="7"/>
  <c r="E9" i="7"/>
  <c r="E10" i="7" s="1"/>
  <c r="X18" i="3"/>
  <c r="X19" i="3"/>
  <c r="X20" i="3"/>
  <c r="X21" i="3"/>
  <c r="X15" i="3"/>
  <c r="X14" i="3"/>
  <c r="X13" i="3"/>
  <c r="X12" i="3"/>
  <c r="X8" i="3"/>
  <c r="X6" i="3"/>
  <c r="X5" i="3"/>
  <c r="K41" i="8" l="1"/>
  <c r="K46" i="8" s="1"/>
  <c r="K51" i="8" s="1"/>
  <c r="I16" i="8"/>
  <c r="L44" i="8"/>
  <c r="L42" i="8"/>
  <c r="L43" i="8"/>
  <c r="M45" i="8"/>
  <c r="K10" i="8"/>
  <c r="J9" i="8"/>
  <c r="J8" i="8"/>
  <c r="J7" i="8"/>
  <c r="J6" i="8" s="1"/>
  <c r="J11" i="8" s="1"/>
  <c r="J16" i="8" s="1"/>
  <c r="J23" i="8"/>
  <c r="J28" i="8" s="1"/>
  <c r="J33" i="8" s="1"/>
  <c r="I6" i="8"/>
  <c r="I11" i="8" s="1"/>
  <c r="K24" i="8"/>
  <c r="K25" i="8"/>
  <c r="L27" i="8"/>
  <c r="L26" i="8" s="1"/>
  <c r="V10" i="7"/>
  <c r="V18" i="7" s="1"/>
  <c r="AX6" i="6"/>
  <c r="L10" i="8" l="1"/>
  <c r="K9" i="8"/>
  <c r="K8" i="8"/>
  <c r="K7" i="8"/>
  <c r="L41" i="8"/>
  <c r="L46" i="8" s="1"/>
  <c r="L51" i="8" s="1"/>
  <c r="M44" i="8"/>
  <c r="N45" i="8"/>
  <c r="M42" i="8"/>
  <c r="M41" i="8" s="1"/>
  <c r="M46" i="8" s="1"/>
  <c r="M51" i="8" s="1"/>
  <c r="M43" i="8"/>
  <c r="K23" i="8"/>
  <c r="K28" i="8" s="1"/>
  <c r="L25" i="8"/>
  <c r="M27" i="8"/>
  <c r="M26" i="8" s="1"/>
  <c r="L24" i="8"/>
  <c r="K33" i="8"/>
  <c r="BH25" i="6"/>
  <c r="BH24" i="6"/>
  <c r="BN29" i="6"/>
  <c r="BN28" i="6"/>
  <c r="BN27" i="6"/>
  <c r="BN26" i="6"/>
  <c r="BN25" i="6"/>
  <c r="BN24" i="6"/>
  <c r="BB31" i="6"/>
  <c r="BB30" i="6"/>
  <c r="BB29" i="6"/>
  <c r="BB28" i="6"/>
  <c r="BB27" i="6"/>
  <c r="BB26" i="6"/>
  <c r="BB25" i="6"/>
  <c r="BB24" i="6"/>
  <c r="AP31" i="6"/>
  <c r="AP30" i="6"/>
  <c r="AP29" i="6"/>
  <c r="AP28" i="6"/>
  <c r="AP27" i="6"/>
  <c r="AP26" i="6"/>
  <c r="AP25" i="6"/>
  <c r="AP24" i="6"/>
  <c r="AO31" i="6"/>
  <c r="AO30" i="6"/>
  <c r="AO29" i="6"/>
  <c r="AO28" i="6"/>
  <c r="AO27" i="6"/>
  <c r="AO26" i="6"/>
  <c r="AO25" i="6"/>
  <c r="AO24" i="6"/>
  <c r="R31" i="6"/>
  <c r="Q31" i="6" s="1"/>
  <c r="R30" i="6"/>
  <c r="Q30" i="6" s="1"/>
  <c r="R29" i="6"/>
  <c r="Q29" i="6" s="1"/>
  <c r="R28" i="6"/>
  <c r="Q28" i="6" s="1"/>
  <c r="R27" i="6"/>
  <c r="Q27" i="6" s="1"/>
  <c r="R26" i="6"/>
  <c r="Q26" i="6" s="1"/>
  <c r="R25" i="6"/>
  <c r="Q25" i="6" s="1"/>
  <c r="R24" i="6"/>
  <c r="Q24" i="6" s="1"/>
  <c r="L31" i="6"/>
  <c r="L30" i="6"/>
  <c r="L29" i="6"/>
  <c r="L28" i="6"/>
  <c r="L27" i="6"/>
  <c r="L26" i="6"/>
  <c r="L25" i="6"/>
  <c r="L24" i="6"/>
  <c r="K24" i="6"/>
  <c r="BN21" i="6"/>
  <c r="BN20" i="6"/>
  <c r="BN19" i="6"/>
  <c r="BN18" i="6"/>
  <c r="BN17" i="6"/>
  <c r="BN16" i="6"/>
  <c r="BN15" i="6"/>
  <c r="BH22" i="6"/>
  <c r="BH21" i="6"/>
  <c r="BH20" i="6"/>
  <c r="BH19" i="6"/>
  <c r="BH18" i="6"/>
  <c r="BH17" i="6"/>
  <c r="BH16" i="6"/>
  <c r="BH15" i="6"/>
  <c r="AJ20" i="6"/>
  <c r="AJ19" i="6"/>
  <c r="AJ18" i="6"/>
  <c r="AJ17" i="6"/>
  <c r="AJ16" i="6"/>
  <c r="AJ15" i="6"/>
  <c r="BN13" i="6"/>
  <c r="BN12" i="6"/>
  <c r="BN11" i="6"/>
  <c r="BN10" i="6"/>
  <c r="BN9" i="6"/>
  <c r="BN7" i="6"/>
  <c r="BN8" i="6"/>
  <c r="BH13" i="6"/>
  <c r="BH12" i="6"/>
  <c r="BH11" i="6"/>
  <c r="BH10" i="6"/>
  <c r="BH9" i="6"/>
  <c r="BH8" i="6"/>
  <c r="BH7" i="6"/>
  <c r="BB22" i="6"/>
  <c r="BB21" i="6"/>
  <c r="BB20" i="6"/>
  <c r="BB19" i="6"/>
  <c r="BB18" i="6"/>
  <c r="BB17" i="6"/>
  <c r="BB16" i="6"/>
  <c r="BB15" i="6"/>
  <c r="AP22" i="6"/>
  <c r="AP21" i="6"/>
  <c r="AP20" i="6"/>
  <c r="AP19" i="6"/>
  <c r="AP18" i="6"/>
  <c r="AP17" i="6"/>
  <c r="AP16" i="6"/>
  <c r="AP15" i="6"/>
  <c r="AO22" i="6"/>
  <c r="AO21" i="6"/>
  <c r="AO20" i="6"/>
  <c r="AO19" i="6"/>
  <c r="AO18" i="6"/>
  <c r="AO17" i="6"/>
  <c r="AO16" i="6"/>
  <c r="AO15" i="6"/>
  <c r="AP13" i="6"/>
  <c r="AP12" i="6"/>
  <c r="AP11" i="6"/>
  <c r="AP10" i="6"/>
  <c r="AP9" i="6"/>
  <c r="AP8" i="6"/>
  <c r="AP7" i="6"/>
  <c r="AJ11" i="6"/>
  <c r="AJ10" i="6"/>
  <c r="AJ9" i="6"/>
  <c r="AJ8" i="6"/>
  <c r="AJ7" i="6"/>
  <c r="L22" i="6"/>
  <c r="L21" i="6"/>
  <c r="L20" i="6"/>
  <c r="L19" i="6"/>
  <c r="L18" i="6"/>
  <c r="L17" i="6"/>
  <c r="L16" i="6"/>
  <c r="L15" i="6"/>
  <c r="R22" i="6"/>
  <c r="Q22" i="6" s="1"/>
  <c r="R21" i="6"/>
  <c r="Q21" i="6" s="1"/>
  <c r="R20" i="6"/>
  <c r="Q20" i="6" s="1"/>
  <c r="R19" i="6"/>
  <c r="Q19" i="6" s="1"/>
  <c r="R18" i="6"/>
  <c r="Q18" i="6" s="1"/>
  <c r="R17" i="6"/>
  <c r="Q17" i="6" s="1"/>
  <c r="R16" i="6"/>
  <c r="Q16" i="6" s="1"/>
  <c r="R15" i="6"/>
  <c r="Q15" i="6" s="1"/>
  <c r="K19" i="6"/>
  <c r="K15" i="6"/>
  <c r="BB13" i="6"/>
  <c r="BB12" i="6"/>
  <c r="BB11" i="6"/>
  <c r="BB10" i="6"/>
  <c r="BB9" i="6"/>
  <c r="BB8" i="6"/>
  <c r="BB7" i="6"/>
  <c r="AO13" i="6"/>
  <c r="AO12" i="6"/>
  <c r="AO11" i="6"/>
  <c r="AO10" i="6"/>
  <c r="AO9" i="6"/>
  <c r="AO8" i="6"/>
  <c r="AO7" i="6"/>
  <c r="R13" i="6"/>
  <c r="Q13" i="6" s="1"/>
  <c r="R12" i="6"/>
  <c r="Q12" i="6" s="1"/>
  <c r="R11" i="6"/>
  <c r="Q11" i="6" s="1"/>
  <c r="R10" i="6"/>
  <c r="Q10" i="6" s="1"/>
  <c r="R9" i="6"/>
  <c r="Q9" i="6" s="1"/>
  <c r="R8" i="6"/>
  <c r="Q8" i="6" s="1"/>
  <c r="R7" i="6"/>
  <c r="Q7" i="6" s="1"/>
  <c r="L13" i="6"/>
  <c r="L12" i="6"/>
  <c r="L11" i="6"/>
  <c r="L10" i="6"/>
  <c r="L9" i="6"/>
  <c r="L8" i="6"/>
  <c r="L7" i="6"/>
  <c r="BP31" i="6"/>
  <c r="BP30" i="6"/>
  <c r="BP29" i="6"/>
  <c r="BP28" i="6"/>
  <c r="BP27" i="6"/>
  <c r="BP26" i="6"/>
  <c r="BP25" i="6"/>
  <c r="BJ29" i="6"/>
  <c r="BM29" i="6" s="1"/>
  <c r="BJ28" i="6"/>
  <c r="BM28" i="6" s="1"/>
  <c r="BJ27" i="6"/>
  <c r="BM27" i="6" s="1"/>
  <c r="BJ26" i="6"/>
  <c r="BM26" i="6" s="1"/>
  <c r="BJ25" i="6"/>
  <c r="BM25" i="6" s="1"/>
  <c r="BD25" i="6"/>
  <c r="BG25" i="6" s="1"/>
  <c r="AX31" i="6"/>
  <c r="AX30" i="6"/>
  <c r="AX29" i="6"/>
  <c r="AX28" i="6"/>
  <c r="AX27" i="6"/>
  <c r="AX26" i="6"/>
  <c r="AX25" i="6"/>
  <c r="AR31" i="6"/>
  <c r="AR30" i="6"/>
  <c r="AR29" i="6"/>
  <c r="AR28" i="6"/>
  <c r="AR27" i="6"/>
  <c r="AR26" i="6"/>
  <c r="AR25" i="6"/>
  <c r="AL31" i="6"/>
  <c r="AL30" i="6"/>
  <c r="AL29" i="6"/>
  <c r="AL28" i="6"/>
  <c r="AL27" i="6"/>
  <c r="AL26" i="6"/>
  <c r="AL25" i="6"/>
  <c r="AF26" i="6"/>
  <c r="AI26" i="6" s="1"/>
  <c r="AF25" i="6"/>
  <c r="AI25" i="6" s="1"/>
  <c r="Z26" i="6"/>
  <c r="AC26" i="6" s="1"/>
  <c r="Z25" i="6"/>
  <c r="AC25" i="6" s="1"/>
  <c r="T31" i="6"/>
  <c r="X31" i="6" s="1"/>
  <c r="T30" i="6"/>
  <c r="X30" i="6" s="1"/>
  <c r="T29" i="6"/>
  <c r="X29" i="6" s="1"/>
  <c r="T28" i="6"/>
  <c r="X28" i="6" s="1"/>
  <c r="T27" i="6"/>
  <c r="W27" i="6" s="1"/>
  <c r="T26" i="6"/>
  <c r="X26" i="6" s="1"/>
  <c r="T25" i="6"/>
  <c r="X25" i="6" s="1"/>
  <c r="N31" i="6"/>
  <c r="N30" i="6"/>
  <c r="N29" i="6"/>
  <c r="N28" i="6"/>
  <c r="N27" i="6"/>
  <c r="N26" i="6"/>
  <c r="N25" i="6"/>
  <c r="H31" i="6"/>
  <c r="K31" i="6" s="1"/>
  <c r="H30" i="6"/>
  <c r="K30" i="6" s="1"/>
  <c r="H29" i="6"/>
  <c r="K29" i="6" s="1"/>
  <c r="H28" i="6"/>
  <c r="K28" i="6" s="1"/>
  <c r="H27" i="6"/>
  <c r="K27" i="6" s="1"/>
  <c r="H26" i="6"/>
  <c r="K26" i="6" s="1"/>
  <c r="H25" i="6"/>
  <c r="K25" i="6" s="1"/>
  <c r="BP22" i="6"/>
  <c r="BP21" i="6"/>
  <c r="BP20" i="6"/>
  <c r="BP19" i="6"/>
  <c r="BP18" i="6"/>
  <c r="BP17" i="6"/>
  <c r="BP16" i="6"/>
  <c r="BJ21" i="6"/>
  <c r="BM21" i="6" s="1"/>
  <c r="BJ20" i="6"/>
  <c r="BM20" i="6" s="1"/>
  <c r="BJ19" i="6"/>
  <c r="BM19" i="6" s="1"/>
  <c r="BJ18" i="6"/>
  <c r="BM18" i="6" s="1"/>
  <c r="BJ17" i="6"/>
  <c r="BM17" i="6" s="1"/>
  <c r="BJ16" i="6"/>
  <c r="BM16" i="6" s="1"/>
  <c r="BD22" i="6"/>
  <c r="BG22" i="6" s="1"/>
  <c r="BD21" i="6"/>
  <c r="BG21" i="6" s="1"/>
  <c r="BD20" i="6"/>
  <c r="BG20" i="6" s="1"/>
  <c r="BD19" i="6"/>
  <c r="BG19" i="6" s="1"/>
  <c r="BD18" i="6"/>
  <c r="BG18" i="6" s="1"/>
  <c r="BD17" i="6"/>
  <c r="BG17" i="6" s="1"/>
  <c r="BD16" i="6"/>
  <c r="BG16" i="6" s="1"/>
  <c r="AX22" i="6"/>
  <c r="AX21" i="6"/>
  <c r="AX20" i="6"/>
  <c r="AX19" i="6"/>
  <c r="AX18" i="6"/>
  <c r="AX17" i="6"/>
  <c r="AX16" i="6"/>
  <c r="AR22" i="6"/>
  <c r="AR21" i="6"/>
  <c r="AR20" i="6"/>
  <c r="AR19" i="6"/>
  <c r="AR18" i="6"/>
  <c r="AR17" i="6"/>
  <c r="AR16" i="6"/>
  <c r="AL22" i="6"/>
  <c r="AL21" i="6"/>
  <c r="AL20" i="6"/>
  <c r="AL19" i="6"/>
  <c r="AL18" i="6"/>
  <c r="AL17" i="6"/>
  <c r="AL16" i="6"/>
  <c r="AF20" i="6"/>
  <c r="AI20" i="6" s="1"/>
  <c r="AF19" i="6"/>
  <c r="AI19" i="6" s="1"/>
  <c r="AF18" i="6"/>
  <c r="AI18" i="6" s="1"/>
  <c r="AF17" i="6"/>
  <c r="AI17" i="6" s="1"/>
  <c r="AF16" i="6"/>
  <c r="AI16" i="6" s="1"/>
  <c r="Z17" i="6"/>
  <c r="AD17" i="6" s="1"/>
  <c r="Z16" i="6"/>
  <c r="AC16" i="6" s="1"/>
  <c r="T22" i="6"/>
  <c r="X22" i="6" s="1"/>
  <c r="T21" i="6"/>
  <c r="W21" i="6" s="1"/>
  <c r="T20" i="6"/>
  <c r="X20" i="6" s="1"/>
  <c r="T19" i="6"/>
  <c r="X19" i="6" s="1"/>
  <c r="T18" i="6"/>
  <c r="X18" i="6" s="1"/>
  <c r="T17" i="6"/>
  <c r="X17" i="6" s="1"/>
  <c r="T16" i="6"/>
  <c r="X16" i="6" s="1"/>
  <c r="N22" i="6"/>
  <c r="N21" i="6"/>
  <c r="N20" i="6"/>
  <c r="N19" i="6"/>
  <c r="N18" i="6"/>
  <c r="N17" i="6"/>
  <c r="N16" i="6"/>
  <c r="H22" i="6"/>
  <c r="K22" i="6" s="1"/>
  <c r="H21" i="6"/>
  <c r="K21" i="6" s="1"/>
  <c r="H20" i="6"/>
  <c r="K20" i="6" s="1"/>
  <c r="H19" i="6"/>
  <c r="H18" i="6"/>
  <c r="K18" i="6" s="1"/>
  <c r="H17" i="6"/>
  <c r="K17" i="6" s="1"/>
  <c r="H16" i="6"/>
  <c r="K16" i="6" s="1"/>
  <c r="BP13" i="6"/>
  <c r="BP12" i="6"/>
  <c r="BP11" i="6"/>
  <c r="BP10" i="6"/>
  <c r="BP9" i="6"/>
  <c r="BP8" i="6"/>
  <c r="BP7" i="6"/>
  <c r="BJ13" i="6"/>
  <c r="BM13" i="6" s="1"/>
  <c r="BJ12" i="6"/>
  <c r="BM12" i="6" s="1"/>
  <c r="BJ11" i="6"/>
  <c r="BM11" i="6" s="1"/>
  <c r="BJ10" i="6"/>
  <c r="BM10" i="6" s="1"/>
  <c r="BJ9" i="6"/>
  <c r="BM9" i="6" s="1"/>
  <c r="BJ8" i="6"/>
  <c r="BM8" i="6" s="1"/>
  <c r="BJ7" i="6"/>
  <c r="BM7" i="6" s="1"/>
  <c r="BD13" i="6"/>
  <c r="BG13" i="6" s="1"/>
  <c r="BD12" i="6"/>
  <c r="BG12" i="6" s="1"/>
  <c r="BD11" i="6"/>
  <c r="BG11" i="6" s="1"/>
  <c r="BD10" i="6"/>
  <c r="BG10" i="6" s="1"/>
  <c r="BD9" i="6"/>
  <c r="BG9" i="6" s="1"/>
  <c r="BD8" i="6"/>
  <c r="BG8" i="6" s="1"/>
  <c r="BD7" i="6"/>
  <c r="BG7" i="6" s="1"/>
  <c r="AX13" i="6"/>
  <c r="AX12" i="6"/>
  <c r="AX11" i="6"/>
  <c r="AX10" i="6"/>
  <c r="AX9" i="6"/>
  <c r="AX8" i="6"/>
  <c r="AX7" i="6"/>
  <c r="AR13" i="6"/>
  <c r="AR12" i="6"/>
  <c r="AR11" i="6"/>
  <c r="AR10" i="6"/>
  <c r="AR9" i="6"/>
  <c r="AR8" i="6"/>
  <c r="AR7" i="6"/>
  <c r="AL13" i="6"/>
  <c r="AL12" i="6"/>
  <c r="AL11" i="6"/>
  <c r="AL10" i="6"/>
  <c r="AL9" i="6"/>
  <c r="AL8" i="6"/>
  <c r="AL7" i="6"/>
  <c r="AF11" i="6"/>
  <c r="AI11" i="6" s="1"/>
  <c r="AF10" i="6"/>
  <c r="AI10" i="6" s="1"/>
  <c r="AF9" i="6"/>
  <c r="AI9" i="6" s="1"/>
  <c r="AF8" i="6"/>
  <c r="AI8" i="6" s="1"/>
  <c r="AF7" i="6"/>
  <c r="AI7" i="6" s="1"/>
  <c r="Z9" i="6"/>
  <c r="AD9" i="6" s="1"/>
  <c r="Z8" i="6"/>
  <c r="AD8" i="6" s="1"/>
  <c r="Z7" i="6"/>
  <c r="AD7" i="6" s="1"/>
  <c r="T13" i="6"/>
  <c r="X13" i="6" s="1"/>
  <c r="T12" i="6"/>
  <c r="X12" i="6" s="1"/>
  <c r="T11" i="6"/>
  <c r="X11" i="6" s="1"/>
  <c r="T10" i="6"/>
  <c r="X10" i="6" s="1"/>
  <c r="T9" i="6"/>
  <c r="X9" i="6" s="1"/>
  <c r="T8" i="6"/>
  <c r="X8" i="6" s="1"/>
  <c r="T7" i="6"/>
  <c r="W7" i="6" s="1"/>
  <c r="N13" i="6"/>
  <c r="N12" i="6"/>
  <c r="N11" i="6"/>
  <c r="N10" i="6"/>
  <c r="N9" i="6"/>
  <c r="N8" i="6"/>
  <c r="N7" i="6"/>
  <c r="H13" i="6"/>
  <c r="K13" i="6" s="1"/>
  <c r="H12" i="6"/>
  <c r="K12" i="6" s="1"/>
  <c r="H11" i="6"/>
  <c r="K11" i="6" s="1"/>
  <c r="H10" i="6"/>
  <c r="K10" i="6" s="1"/>
  <c r="H9" i="6"/>
  <c r="K9" i="6" s="1"/>
  <c r="H8" i="6"/>
  <c r="K8" i="6" s="1"/>
  <c r="H7" i="6"/>
  <c r="K7" i="6" s="1"/>
  <c r="AO6" i="6"/>
  <c r="K6" i="6"/>
  <c r="BB6" i="6"/>
  <c r="BH6" i="6"/>
  <c r="BN6" i="6"/>
  <c r="AP6" i="6"/>
  <c r="AJ6" i="6"/>
  <c r="R6" i="6"/>
  <c r="Q6" i="6" s="1"/>
  <c r="Z6" i="6"/>
  <c r="AC6" i="6" s="1"/>
  <c r="L6" i="6"/>
  <c r="K6" i="8" l="1"/>
  <c r="K11" i="8" s="1"/>
  <c r="K16" i="8" s="1"/>
  <c r="O45" i="8"/>
  <c r="N43" i="8"/>
  <c r="N44" i="8"/>
  <c r="N42" i="8"/>
  <c r="N41" i="8" s="1"/>
  <c r="N46" i="8" s="1"/>
  <c r="N51" i="8" s="1"/>
  <c r="L23" i="8"/>
  <c r="L28" i="8" s="1"/>
  <c r="L33" i="8" s="1"/>
  <c r="M10" i="8"/>
  <c r="L9" i="8"/>
  <c r="L7" i="8"/>
  <c r="L8" i="8"/>
  <c r="M25" i="8"/>
  <c r="N27" i="8"/>
  <c r="N26" i="8" s="1"/>
  <c r="M24" i="8"/>
  <c r="M23" i="8" s="1"/>
  <c r="M28" i="8" s="1"/>
  <c r="X21" i="6"/>
  <c r="W10" i="6"/>
  <c r="X7" i="6"/>
  <c r="AC7" i="6"/>
  <c r="W19" i="6"/>
  <c r="AC17" i="6"/>
  <c r="W17" i="6"/>
  <c r="W31" i="6"/>
  <c r="X27" i="6"/>
  <c r="AD16" i="6"/>
  <c r="AC9" i="6"/>
  <c r="W8" i="6"/>
  <c r="AD6" i="6"/>
  <c r="AC8" i="6"/>
  <c r="W9" i="6"/>
  <c r="W13" i="6"/>
  <c r="W16" i="6"/>
  <c r="W20" i="6"/>
  <c r="W26" i="6"/>
  <c r="W30" i="6"/>
  <c r="W11" i="6"/>
  <c r="W18" i="6"/>
  <c r="W22" i="6"/>
  <c r="W28" i="6"/>
  <c r="W12" i="6"/>
  <c r="W25" i="6"/>
  <c r="W29" i="6"/>
  <c r="BP24" i="6"/>
  <c r="BJ24" i="6"/>
  <c r="BM24" i="6" s="1"/>
  <c r="BD24" i="6"/>
  <c r="BG24" i="6" s="1"/>
  <c r="AX24" i="6"/>
  <c r="AR24" i="6"/>
  <c r="AL24" i="6"/>
  <c r="AF24" i="6"/>
  <c r="AI24" i="6" s="1"/>
  <c r="Z24" i="6"/>
  <c r="AC24" i="6" s="1"/>
  <c r="T24" i="6"/>
  <c r="N24" i="6"/>
  <c r="H24" i="6"/>
  <c r="BP15" i="6"/>
  <c r="BJ15" i="6"/>
  <c r="BM15" i="6" s="1"/>
  <c r="BD15" i="6"/>
  <c r="BG15" i="6" s="1"/>
  <c r="AX15" i="6"/>
  <c r="AR15" i="6"/>
  <c r="AL15" i="6"/>
  <c r="AF15" i="6"/>
  <c r="AI15" i="6" s="1"/>
  <c r="Z15" i="6"/>
  <c r="T15" i="6"/>
  <c r="N15" i="6"/>
  <c r="H15" i="6"/>
  <c r="BP6" i="6"/>
  <c r="BJ6" i="6"/>
  <c r="BM6" i="6" s="1"/>
  <c r="BG6" i="6"/>
  <c r="AR6" i="6"/>
  <c r="AL6" i="6"/>
  <c r="AF6" i="6"/>
  <c r="AI6" i="6" s="1"/>
  <c r="T6" i="6"/>
  <c r="N6" i="6"/>
  <c r="H6" i="6"/>
  <c r="I6" i="6" s="1"/>
  <c r="H35" i="5"/>
  <c r="H34" i="5"/>
  <c r="H33" i="5"/>
  <c r="H32" i="5"/>
  <c r="H31" i="5"/>
  <c r="H30" i="5"/>
  <c r="H29" i="5"/>
  <c r="H28" i="5"/>
  <c r="F35" i="5"/>
  <c r="F31" i="5"/>
  <c r="D35" i="5"/>
  <c r="D34" i="5"/>
  <c r="D33" i="5"/>
  <c r="D32" i="5"/>
  <c r="D31" i="5"/>
  <c r="D30" i="5"/>
  <c r="D29" i="5"/>
  <c r="D28" i="5"/>
  <c r="J24" i="5"/>
  <c r="H24" i="5"/>
  <c r="H23" i="5"/>
  <c r="H22" i="5"/>
  <c r="H21" i="5"/>
  <c r="H20" i="5"/>
  <c r="H19" i="5"/>
  <c r="H18" i="5"/>
  <c r="H17" i="5"/>
  <c r="F20" i="5"/>
  <c r="F19" i="5"/>
  <c r="D24" i="5"/>
  <c r="D23" i="5"/>
  <c r="D22" i="5"/>
  <c r="D21" i="5"/>
  <c r="D20" i="5"/>
  <c r="D19" i="5"/>
  <c r="D18" i="5"/>
  <c r="D17" i="5"/>
  <c r="J8" i="5"/>
  <c r="H13" i="5"/>
  <c r="H12" i="5"/>
  <c r="H11" i="5"/>
  <c r="H10" i="5"/>
  <c r="H9" i="5"/>
  <c r="H8" i="5"/>
  <c r="H7" i="5"/>
  <c r="H6" i="5"/>
  <c r="D13" i="5"/>
  <c r="D12" i="5"/>
  <c r="D11" i="5"/>
  <c r="D10" i="5"/>
  <c r="D9" i="5"/>
  <c r="D8" i="5"/>
  <c r="D7" i="5"/>
  <c r="D6" i="5"/>
  <c r="M35" i="5"/>
  <c r="N35" i="5" s="1"/>
  <c r="M31" i="5"/>
  <c r="N31" i="5" s="1"/>
  <c r="I35" i="5"/>
  <c r="J35" i="5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E34" i="5"/>
  <c r="E32" i="5"/>
  <c r="F32" i="5" s="1"/>
  <c r="E33" i="5"/>
  <c r="F33" i="5" s="1"/>
  <c r="E30" i="5"/>
  <c r="F30" i="5" s="1"/>
  <c r="E29" i="5"/>
  <c r="E35" i="5"/>
  <c r="E31" i="5"/>
  <c r="E28" i="5"/>
  <c r="F28" i="5" s="1"/>
  <c r="K35" i="5"/>
  <c r="L35" i="5" s="1"/>
  <c r="K34" i="5"/>
  <c r="L34" i="5" s="1"/>
  <c r="K33" i="5"/>
  <c r="L33" i="5" s="1"/>
  <c r="K32" i="5"/>
  <c r="L32" i="5" s="1"/>
  <c r="K31" i="5"/>
  <c r="L31" i="5" s="1"/>
  <c r="K30" i="5"/>
  <c r="L30" i="5" s="1"/>
  <c r="K29" i="5"/>
  <c r="L29" i="5" s="1"/>
  <c r="K28" i="5"/>
  <c r="L28" i="5" s="1"/>
  <c r="I24" i="5"/>
  <c r="I23" i="5"/>
  <c r="J23" i="5" s="1"/>
  <c r="I22" i="5"/>
  <c r="J22" i="5" s="1"/>
  <c r="I21" i="5"/>
  <c r="J21" i="5" s="1"/>
  <c r="I20" i="5"/>
  <c r="J20" i="5" s="1"/>
  <c r="I19" i="5"/>
  <c r="I18" i="5"/>
  <c r="J18" i="5" s="1"/>
  <c r="I17" i="5"/>
  <c r="J17" i="5" s="1"/>
  <c r="E21" i="5"/>
  <c r="F21" i="5" s="1"/>
  <c r="E23" i="5"/>
  <c r="E22" i="5"/>
  <c r="F22" i="5" s="1"/>
  <c r="E18" i="5"/>
  <c r="F18" i="5" s="1"/>
  <c r="E19" i="5"/>
  <c r="E17" i="5"/>
  <c r="E24" i="5"/>
  <c r="F24" i="5" s="1"/>
  <c r="E20" i="5"/>
  <c r="M20" i="5" s="1"/>
  <c r="N20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M12" i="5"/>
  <c r="N12" i="5" s="1"/>
  <c r="I13" i="5"/>
  <c r="J13" i="5" s="1"/>
  <c r="I12" i="5"/>
  <c r="J12" i="5" s="1"/>
  <c r="I11" i="5"/>
  <c r="I10" i="5"/>
  <c r="J10" i="5" s="1"/>
  <c r="I9" i="5"/>
  <c r="J9" i="5" s="1"/>
  <c r="I8" i="5"/>
  <c r="I7" i="5"/>
  <c r="J7" i="5" s="1"/>
  <c r="E10" i="5"/>
  <c r="E11" i="5"/>
  <c r="F11" i="5" s="1"/>
  <c r="E12" i="5"/>
  <c r="F12" i="5" s="1"/>
  <c r="E13" i="5"/>
  <c r="E7" i="5"/>
  <c r="F7" i="5" s="1"/>
  <c r="E6" i="5"/>
  <c r="F6" i="5" s="1"/>
  <c r="E9" i="5"/>
  <c r="E8" i="5"/>
  <c r="F8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K7" i="5"/>
  <c r="L7" i="5" s="1"/>
  <c r="I6" i="5"/>
  <c r="J6" i="5" s="1"/>
  <c r="K6" i="5"/>
  <c r="L6" i="5" s="1"/>
  <c r="O15" i="1"/>
  <c r="O14" i="1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O24" i="1"/>
  <c r="O23" i="1"/>
  <c r="O20" i="1"/>
  <c r="O19" i="1"/>
  <c r="X73" i="4"/>
  <c r="W73" i="4"/>
  <c r="V73" i="4"/>
  <c r="U73" i="4"/>
  <c r="T73" i="4"/>
  <c r="S73" i="4"/>
  <c r="R73" i="4"/>
  <c r="Q73" i="4"/>
  <c r="P73" i="4"/>
  <c r="O73" i="4"/>
  <c r="O74" i="4" s="1"/>
  <c r="N73" i="4"/>
  <c r="M73" i="4"/>
  <c r="L73" i="4"/>
  <c r="K73" i="4"/>
  <c r="J73" i="4"/>
  <c r="I73" i="4"/>
  <c r="H73" i="4"/>
  <c r="G73" i="4"/>
  <c r="F73" i="4"/>
  <c r="E73" i="4"/>
  <c r="X65" i="4"/>
  <c r="W65" i="4"/>
  <c r="V65" i="4"/>
  <c r="V66" i="4" s="1"/>
  <c r="U65" i="4"/>
  <c r="T65" i="4"/>
  <c r="T66" i="4" s="1"/>
  <c r="S65" i="4"/>
  <c r="R65" i="4"/>
  <c r="R66" i="4" s="1"/>
  <c r="Q65" i="4"/>
  <c r="P65" i="4"/>
  <c r="O65" i="4"/>
  <c r="N65" i="4"/>
  <c r="N66" i="4" s="1"/>
  <c r="M65" i="4"/>
  <c r="L65" i="4"/>
  <c r="K65" i="4"/>
  <c r="J65" i="4"/>
  <c r="J66" i="4" s="1"/>
  <c r="I65" i="4"/>
  <c r="H65" i="4"/>
  <c r="H66" i="4" s="1"/>
  <c r="G65" i="4"/>
  <c r="G66" i="4" s="1"/>
  <c r="F65" i="4"/>
  <c r="F66" i="4" s="1"/>
  <c r="E65" i="4"/>
  <c r="M74" i="4"/>
  <c r="G74" i="4"/>
  <c r="E69" i="4"/>
  <c r="F69" i="4" s="1"/>
  <c r="G69" i="4" s="1"/>
  <c r="H69" i="4" s="1"/>
  <c r="I69" i="4" s="1"/>
  <c r="J69" i="4" s="1"/>
  <c r="K69" i="4" s="1"/>
  <c r="L69" i="4" s="1"/>
  <c r="M69" i="4" s="1"/>
  <c r="N69" i="4" s="1"/>
  <c r="O69" i="4" s="1"/>
  <c r="P69" i="4" s="1"/>
  <c r="Q69" i="4" s="1"/>
  <c r="R69" i="4" s="1"/>
  <c r="S69" i="4" s="1"/>
  <c r="T69" i="4" s="1"/>
  <c r="U69" i="4" s="1"/>
  <c r="V69" i="4" s="1"/>
  <c r="W69" i="4" s="1"/>
  <c r="X69" i="4" s="1"/>
  <c r="X66" i="4" s="1"/>
  <c r="W66" i="4"/>
  <c r="U66" i="4"/>
  <c r="Q66" i="4"/>
  <c r="P66" i="4"/>
  <c r="O66" i="4"/>
  <c r="L66" i="4"/>
  <c r="K66" i="4"/>
  <c r="I66" i="4"/>
  <c r="E66" i="4"/>
  <c r="K24" i="1"/>
  <c r="K14" i="1"/>
  <c r="K19" i="1"/>
  <c r="K20" i="1"/>
  <c r="K23" i="1"/>
  <c r="G23" i="1"/>
  <c r="G20" i="1"/>
  <c r="G19" i="1"/>
  <c r="G14" i="1"/>
  <c r="G24" i="1"/>
  <c r="K15" i="1"/>
  <c r="G15" i="1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E61" i="4"/>
  <c r="E50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W43" i="4"/>
  <c r="V43" i="4"/>
  <c r="S43" i="4"/>
  <c r="O43" i="4"/>
  <c r="N43" i="4"/>
  <c r="K43" i="4"/>
  <c r="G43" i="4"/>
  <c r="F43" i="4"/>
  <c r="X41" i="4"/>
  <c r="X43" i="4" s="1"/>
  <c r="W41" i="4"/>
  <c r="V41" i="4"/>
  <c r="U41" i="4"/>
  <c r="U43" i="4" s="1"/>
  <c r="T41" i="4"/>
  <c r="T43" i="4" s="1"/>
  <c r="S41" i="4"/>
  <c r="R41" i="4"/>
  <c r="R43" i="4" s="1"/>
  <c r="Q41" i="4"/>
  <c r="Q43" i="4" s="1"/>
  <c r="P41" i="4"/>
  <c r="P43" i="4" s="1"/>
  <c r="O41" i="4"/>
  <c r="N41" i="4"/>
  <c r="M41" i="4"/>
  <c r="M43" i="4" s="1"/>
  <c r="L41" i="4"/>
  <c r="L43" i="4" s="1"/>
  <c r="K41" i="4"/>
  <c r="J41" i="4"/>
  <c r="J43" i="4" s="1"/>
  <c r="AA43" i="4" s="1"/>
  <c r="H41" i="4"/>
  <c r="H43" i="4" s="1"/>
  <c r="I41" i="4"/>
  <c r="I43" i="4" s="1"/>
  <c r="G41" i="4"/>
  <c r="F41" i="4"/>
  <c r="E41" i="4"/>
  <c r="E43" i="4" s="1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E32" i="4"/>
  <c r="F32" i="4" s="1"/>
  <c r="G32" i="4" s="1"/>
  <c r="H32" i="4" s="1"/>
  <c r="I32" i="4" s="1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X37" i="4" s="1"/>
  <c r="F101" i="3"/>
  <c r="F103" i="3" s="1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F93" i="3" s="1"/>
  <c r="H85" i="3"/>
  <c r="I85" i="3" s="1"/>
  <c r="J85" i="3" s="1"/>
  <c r="K85" i="3" s="1"/>
  <c r="L85" i="3" s="1"/>
  <c r="M85" i="3" s="1"/>
  <c r="N85" i="3" s="1"/>
  <c r="O85" i="3" s="1"/>
  <c r="P85" i="3" s="1"/>
  <c r="Q85" i="3" s="1"/>
  <c r="R85" i="3" s="1"/>
  <c r="S85" i="3" s="1"/>
  <c r="T85" i="3" s="1"/>
  <c r="U85" i="3" s="1"/>
  <c r="G85" i="3"/>
  <c r="U82" i="3"/>
  <c r="T82" i="3"/>
  <c r="S82" i="3"/>
  <c r="R82" i="3"/>
  <c r="Q82" i="3"/>
  <c r="P82" i="3"/>
  <c r="O82" i="3"/>
  <c r="N82" i="3"/>
  <c r="M82" i="3"/>
  <c r="L82" i="3"/>
  <c r="K82" i="3"/>
  <c r="K83" i="3" s="1"/>
  <c r="J82" i="3"/>
  <c r="I82" i="3"/>
  <c r="H82" i="3"/>
  <c r="G82" i="3"/>
  <c r="G83" i="3" s="1"/>
  <c r="F82" i="3"/>
  <c r="F83" i="3" s="1"/>
  <c r="F77" i="3"/>
  <c r="F79" i="3" s="1"/>
  <c r="T77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G61" i="3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R61" i="3" s="1"/>
  <c r="S61" i="3" s="1"/>
  <c r="T61" i="3" s="1"/>
  <c r="U61" i="3" s="1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F59" i="3" s="1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30" i="1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F53" i="3"/>
  <c r="X7" i="3"/>
  <c r="F47" i="3"/>
  <c r="F46" i="3"/>
  <c r="G44" i="3"/>
  <c r="H44" i="3" s="1"/>
  <c r="I44" i="3" s="1"/>
  <c r="G43" i="3"/>
  <c r="AA59" i="4" l="1"/>
  <c r="M10" i="5"/>
  <c r="N10" i="5" s="1"/>
  <c r="L6" i="8"/>
  <c r="L11" i="8" s="1"/>
  <c r="L16" i="8" s="1"/>
  <c r="E21" i="8"/>
  <c r="E33" i="8" s="1"/>
  <c r="X16" i="3"/>
  <c r="G59" i="3"/>
  <c r="K59" i="3"/>
  <c r="O59" i="3"/>
  <c r="S59" i="3"/>
  <c r="M66" i="4"/>
  <c r="E74" i="4"/>
  <c r="I74" i="4"/>
  <c r="Q74" i="4"/>
  <c r="E80" i="4"/>
  <c r="M9" i="5"/>
  <c r="N9" i="5" s="1"/>
  <c r="M24" i="5"/>
  <c r="N24" i="5" s="1"/>
  <c r="N10" i="8"/>
  <c r="M9" i="8"/>
  <c r="M7" i="8"/>
  <c r="M6" i="8" s="1"/>
  <c r="M11" i="8" s="1"/>
  <c r="M8" i="8"/>
  <c r="O42" i="8"/>
  <c r="O43" i="8"/>
  <c r="P45" i="8"/>
  <c r="O44" i="8"/>
  <c r="E39" i="8"/>
  <c r="E51" i="8" s="1"/>
  <c r="X22" i="3"/>
  <c r="G103" i="3"/>
  <c r="AA54" i="4"/>
  <c r="M13" i="5"/>
  <c r="N13" i="5" s="1"/>
  <c r="F9" i="5"/>
  <c r="N24" i="8"/>
  <c r="N23" i="8" s="1"/>
  <c r="N28" i="8" s="1"/>
  <c r="N25" i="8"/>
  <c r="O27" i="8"/>
  <c r="O26" i="8" s="1"/>
  <c r="M33" i="8"/>
  <c r="X92" i="3"/>
  <c r="X101" i="3"/>
  <c r="M8" i="5"/>
  <c r="N8" i="5" s="1"/>
  <c r="M17" i="5"/>
  <c r="N17" i="5" s="1"/>
  <c r="F17" i="5"/>
  <c r="F23" i="5"/>
  <c r="M23" i="5"/>
  <c r="N23" i="5" s="1"/>
  <c r="J19" i="5"/>
  <c r="M19" i="5"/>
  <c r="N19" i="5" s="1"/>
  <c r="F13" i="5"/>
  <c r="S83" i="3"/>
  <c r="H59" i="3"/>
  <c r="L59" i="3"/>
  <c r="P59" i="3"/>
  <c r="T59" i="3"/>
  <c r="X68" i="3"/>
  <c r="F69" i="3"/>
  <c r="J11" i="5"/>
  <c r="M11" i="5"/>
  <c r="N11" i="5" s="1"/>
  <c r="O83" i="3"/>
  <c r="H83" i="3"/>
  <c r="L83" i="3"/>
  <c r="P83" i="3"/>
  <c r="X82" i="3"/>
  <c r="AA41" i="4"/>
  <c r="E47" i="4"/>
  <c r="AA46" i="4"/>
  <c r="E55" i="4"/>
  <c r="F50" i="4"/>
  <c r="F47" i="4" s="1"/>
  <c r="AA65" i="4"/>
  <c r="AA73" i="4"/>
  <c r="F29" i="5"/>
  <c r="M29" i="5"/>
  <c r="N29" i="5" s="1"/>
  <c r="F34" i="5"/>
  <c r="M34" i="5"/>
  <c r="N34" i="5" s="1"/>
  <c r="AA78" i="4"/>
  <c r="M7" i="5"/>
  <c r="N7" i="5" s="1"/>
  <c r="M30" i="5"/>
  <c r="N30" i="5" s="1"/>
  <c r="AC15" i="6"/>
  <c r="AD15" i="6"/>
  <c r="X6" i="6"/>
  <c r="W6" i="6"/>
  <c r="I59" i="3"/>
  <c r="M59" i="3"/>
  <c r="Q59" i="3"/>
  <c r="U59" i="3"/>
  <c r="I83" i="3"/>
  <c r="M83" i="3"/>
  <c r="Q83" i="3"/>
  <c r="U83" i="3"/>
  <c r="S66" i="4"/>
  <c r="AA66" i="4" s="1"/>
  <c r="M21" i="5"/>
  <c r="N21" i="5" s="1"/>
  <c r="M28" i="5"/>
  <c r="N28" i="5" s="1"/>
  <c r="M32" i="5"/>
  <c r="N32" i="5" s="1"/>
  <c r="F10" i="5"/>
  <c r="X24" i="6"/>
  <c r="W24" i="6"/>
  <c r="F48" i="3"/>
  <c r="U53" i="3"/>
  <c r="J59" i="3"/>
  <c r="N59" i="3"/>
  <c r="R59" i="3"/>
  <c r="J83" i="3"/>
  <c r="N83" i="3"/>
  <c r="AA28" i="4"/>
  <c r="AA36" i="4"/>
  <c r="K74" i="4"/>
  <c r="M6" i="5"/>
  <c r="N6" i="5" s="1"/>
  <c r="M18" i="5"/>
  <c r="N18" i="5" s="1"/>
  <c r="M22" i="5"/>
  <c r="N22" i="5" s="1"/>
  <c r="M33" i="5"/>
  <c r="N33" i="5" s="1"/>
  <c r="X15" i="6"/>
  <c r="W15" i="6"/>
  <c r="F74" i="4"/>
  <c r="H74" i="4"/>
  <c r="J74" i="4"/>
  <c r="L74" i="4"/>
  <c r="N74" i="4"/>
  <c r="P74" i="4"/>
  <c r="R74" i="4"/>
  <c r="T74" i="4"/>
  <c r="V74" i="4"/>
  <c r="X74" i="4"/>
  <c r="F80" i="4"/>
  <c r="H80" i="4"/>
  <c r="J80" i="4"/>
  <c r="L80" i="4"/>
  <c r="N80" i="4"/>
  <c r="P80" i="4"/>
  <c r="R80" i="4"/>
  <c r="T80" i="4"/>
  <c r="V80" i="4"/>
  <c r="X80" i="4"/>
  <c r="S74" i="4"/>
  <c r="U74" i="4"/>
  <c r="W74" i="4"/>
  <c r="G80" i="4"/>
  <c r="I80" i="4"/>
  <c r="K80" i="4"/>
  <c r="M80" i="4"/>
  <c r="O80" i="4"/>
  <c r="Q80" i="4"/>
  <c r="S80" i="4"/>
  <c r="U80" i="4"/>
  <c r="W80" i="4"/>
  <c r="G29" i="4"/>
  <c r="I29" i="4"/>
  <c r="K29" i="4"/>
  <c r="M29" i="4"/>
  <c r="O29" i="4"/>
  <c r="Q29" i="4"/>
  <c r="S29" i="4"/>
  <c r="U29" i="4"/>
  <c r="W29" i="4"/>
  <c r="F29" i="4"/>
  <c r="H29" i="4"/>
  <c r="J29" i="4"/>
  <c r="L29" i="4"/>
  <c r="N29" i="4"/>
  <c r="P29" i="4"/>
  <c r="R29" i="4"/>
  <c r="T29" i="4"/>
  <c r="V29" i="4"/>
  <c r="X29" i="4"/>
  <c r="F37" i="4"/>
  <c r="E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E29" i="4"/>
  <c r="R83" i="3"/>
  <c r="T83" i="3"/>
  <c r="G77" i="3"/>
  <c r="I77" i="3"/>
  <c r="K77" i="3"/>
  <c r="M77" i="3"/>
  <c r="O77" i="3"/>
  <c r="Q77" i="3"/>
  <c r="S77" i="3"/>
  <c r="U77" i="3"/>
  <c r="H77" i="3"/>
  <c r="J77" i="3"/>
  <c r="L77" i="3"/>
  <c r="N77" i="3"/>
  <c r="P77" i="3"/>
  <c r="R77" i="3"/>
  <c r="J44" i="3"/>
  <c r="H43" i="3"/>
  <c r="H103" i="3" s="1"/>
  <c r="F55" i="3"/>
  <c r="H53" i="3"/>
  <c r="J53" i="3"/>
  <c r="L53" i="3"/>
  <c r="N53" i="3"/>
  <c r="P53" i="3"/>
  <c r="R53" i="3"/>
  <c r="T53" i="3"/>
  <c r="G53" i="3"/>
  <c r="G55" i="3" s="1"/>
  <c r="I53" i="3"/>
  <c r="K53" i="3"/>
  <c r="M53" i="3"/>
  <c r="O53" i="3"/>
  <c r="Q53" i="3"/>
  <c r="S53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F25" i="3" s="1"/>
  <c r="G27" i="3"/>
  <c r="G93" i="3" s="1"/>
  <c r="P42" i="8" l="1"/>
  <c r="P43" i="8"/>
  <c r="P44" i="8"/>
  <c r="Q45" i="8"/>
  <c r="G25" i="3"/>
  <c r="X35" i="3"/>
  <c r="H27" i="3"/>
  <c r="H93" i="3" s="1"/>
  <c r="AA80" i="4"/>
  <c r="F61" i="4"/>
  <c r="M16" i="8"/>
  <c r="X83" i="3"/>
  <c r="O41" i="8"/>
  <c r="O46" i="8" s="1"/>
  <c r="O51" i="8" s="1"/>
  <c r="O10" i="8"/>
  <c r="N9" i="8"/>
  <c r="N8" i="8"/>
  <c r="N7" i="8"/>
  <c r="N33" i="8"/>
  <c r="O24" i="8"/>
  <c r="O23" i="8" s="1"/>
  <c r="O28" i="8" s="1"/>
  <c r="O25" i="8"/>
  <c r="P27" i="8"/>
  <c r="P26" i="8" s="1"/>
  <c r="AA74" i="4"/>
  <c r="G36" i="3"/>
  <c r="H55" i="3"/>
  <c r="H69" i="3"/>
  <c r="G47" i="3"/>
  <c r="G69" i="3"/>
  <c r="H79" i="3"/>
  <c r="G79" i="3"/>
  <c r="X77" i="3"/>
  <c r="AA29" i="4"/>
  <c r="G50" i="4"/>
  <c r="F55" i="4"/>
  <c r="AA37" i="4"/>
  <c r="I43" i="3"/>
  <c r="I103" i="3" s="1"/>
  <c r="K44" i="3"/>
  <c r="X24" i="3"/>
  <c r="F36" i="3"/>
  <c r="X53" i="3"/>
  <c r="G46" i="3"/>
  <c r="G48" i="3" s="1"/>
  <c r="F9" i="3"/>
  <c r="O30" i="1"/>
  <c r="K30" i="1"/>
  <c r="G30" i="1"/>
  <c r="N30" i="1"/>
  <c r="J30" i="1"/>
  <c r="I27" i="3" l="1"/>
  <c r="I69" i="3" s="1"/>
  <c r="H46" i="3"/>
  <c r="H25" i="3"/>
  <c r="P10" i="8"/>
  <c r="O9" i="8"/>
  <c r="O8" i="8"/>
  <c r="O7" i="8"/>
  <c r="I55" i="3"/>
  <c r="Q44" i="8"/>
  <c r="R45" i="8"/>
  <c r="Q42" i="8"/>
  <c r="Q43" i="8"/>
  <c r="E4" i="8"/>
  <c r="E16" i="8" s="1"/>
  <c r="X9" i="3"/>
  <c r="H36" i="3"/>
  <c r="I79" i="3"/>
  <c r="N6" i="8"/>
  <c r="N11" i="8" s="1"/>
  <c r="N16" i="8" s="1"/>
  <c r="P41" i="8"/>
  <c r="P46" i="8" s="1"/>
  <c r="P51" i="8" s="1"/>
  <c r="O33" i="8"/>
  <c r="P25" i="8"/>
  <c r="Q27" i="8"/>
  <c r="Q26" i="8" s="1"/>
  <c r="P24" i="8"/>
  <c r="H50" i="4"/>
  <c r="G47" i="4"/>
  <c r="G55" i="4"/>
  <c r="G61" i="4"/>
  <c r="I93" i="3"/>
  <c r="I47" i="3"/>
  <c r="L44" i="3"/>
  <c r="I46" i="3"/>
  <c r="I48" i="3" s="1"/>
  <c r="J43" i="3"/>
  <c r="I25" i="3"/>
  <c r="S45" i="8" l="1"/>
  <c r="R42" i="8"/>
  <c r="R41" i="8" s="1"/>
  <c r="R46" i="8" s="1"/>
  <c r="R51" i="8" s="1"/>
  <c r="R44" i="8"/>
  <c r="R43" i="8"/>
  <c r="H47" i="3"/>
  <c r="H48" i="3" s="1"/>
  <c r="P23" i="8"/>
  <c r="P28" i="8" s="1"/>
  <c r="Q41" i="8"/>
  <c r="Q46" i="8" s="1"/>
  <c r="Q51" i="8" s="1"/>
  <c r="O6" i="8"/>
  <c r="O11" i="8" s="1"/>
  <c r="O16" i="8" s="1"/>
  <c r="I36" i="3"/>
  <c r="J27" i="3"/>
  <c r="Q10" i="8"/>
  <c r="P9" i="8"/>
  <c r="P8" i="8"/>
  <c r="P7" i="8"/>
  <c r="Q24" i="8"/>
  <c r="Q25" i="8"/>
  <c r="R27" i="8"/>
  <c r="R26" i="8" s="1"/>
  <c r="P33" i="8"/>
  <c r="J93" i="3"/>
  <c r="J69" i="3"/>
  <c r="I50" i="4"/>
  <c r="H47" i="4"/>
  <c r="H55" i="4"/>
  <c r="H61" i="4"/>
  <c r="J103" i="3"/>
  <c r="J79" i="3"/>
  <c r="J46" i="3"/>
  <c r="K43" i="3"/>
  <c r="J55" i="3"/>
  <c r="M44" i="3"/>
  <c r="K27" i="3"/>
  <c r="J25" i="3"/>
  <c r="J36" i="3"/>
  <c r="J47" i="3"/>
  <c r="S42" i="8" l="1"/>
  <c r="S43" i="8"/>
  <c r="T45" i="8"/>
  <c r="S44" i="8"/>
  <c r="Q23" i="8"/>
  <c r="Q28" i="8" s="1"/>
  <c r="Q33" i="8" s="1"/>
  <c r="R10" i="8"/>
  <c r="Q9" i="8"/>
  <c r="Q7" i="8"/>
  <c r="Q8" i="8"/>
  <c r="P16" i="8"/>
  <c r="P6" i="8"/>
  <c r="P11" i="8" s="1"/>
  <c r="R24" i="8"/>
  <c r="R25" i="8"/>
  <c r="S27" i="8"/>
  <c r="S26" i="8" s="1"/>
  <c r="K103" i="3"/>
  <c r="K79" i="3"/>
  <c r="K93" i="3"/>
  <c r="K69" i="3"/>
  <c r="J50" i="4"/>
  <c r="I47" i="4"/>
  <c r="I55" i="4"/>
  <c r="I61" i="4"/>
  <c r="N44" i="3"/>
  <c r="L27" i="3"/>
  <c r="K36" i="3"/>
  <c r="K25" i="3"/>
  <c r="K47" i="3"/>
  <c r="K46" i="3"/>
  <c r="L43" i="3"/>
  <c r="K55" i="3"/>
  <c r="J48" i="3"/>
  <c r="S10" i="8" l="1"/>
  <c r="R9" i="8"/>
  <c r="R8" i="8"/>
  <c r="R7" i="8"/>
  <c r="R6" i="8" s="1"/>
  <c r="R11" i="8" s="1"/>
  <c r="R16" i="8" s="1"/>
  <c r="T44" i="8"/>
  <c r="T42" i="8"/>
  <c r="T43" i="8"/>
  <c r="R23" i="8"/>
  <c r="R28" i="8" s="1"/>
  <c r="R33" i="8" s="1"/>
  <c r="S41" i="8"/>
  <c r="S46" i="8" s="1"/>
  <c r="S51" i="8" s="1"/>
  <c r="Q6" i="8"/>
  <c r="Q11" i="8" s="1"/>
  <c r="Q16" i="8" s="1"/>
  <c r="S24" i="8"/>
  <c r="S23" i="8" s="1"/>
  <c r="S28" i="8" s="1"/>
  <c r="S25" i="8"/>
  <c r="T27" i="8"/>
  <c r="T26" i="8" s="1"/>
  <c r="K48" i="3"/>
  <c r="L69" i="3"/>
  <c r="L93" i="3"/>
  <c r="K50" i="4"/>
  <c r="J47" i="4"/>
  <c r="J61" i="4"/>
  <c r="J55" i="4"/>
  <c r="L103" i="3"/>
  <c r="L79" i="3"/>
  <c r="M27" i="3"/>
  <c r="L25" i="3"/>
  <c r="L36" i="3"/>
  <c r="L47" i="3"/>
  <c r="O44" i="3"/>
  <c r="L46" i="3"/>
  <c r="M43" i="3"/>
  <c r="L55" i="3"/>
  <c r="T41" i="8" l="1"/>
  <c r="T46" i="8" s="1"/>
  <c r="T51" i="8" s="1"/>
  <c r="E53" i="8" s="1"/>
  <c r="T10" i="8"/>
  <c r="S9" i="8"/>
  <c r="S8" i="8"/>
  <c r="S7" i="8"/>
  <c r="S33" i="8"/>
  <c r="T25" i="8"/>
  <c r="T24" i="8"/>
  <c r="M103" i="3"/>
  <c r="M79" i="3"/>
  <c r="L48" i="3"/>
  <c r="L50" i="4"/>
  <c r="K47" i="4"/>
  <c r="K55" i="4"/>
  <c r="K61" i="4"/>
  <c r="M69" i="3"/>
  <c r="M93" i="3"/>
  <c r="N27" i="3"/>
  <c r="M25" i="3"/>
  <c r="M36" i="3"/>
  <c r="M47" i="3"/>
  <c r="M46" i="3"/>
  <c r="N43" i="3"/>
  <c r="M55" i="3"/>
  <c r="P44" i="3"/>
  <c r="T23" i="8" l="1"/>
  <c r="T28" i="8" s="1"/>
  <c r="T33" i="8" s="1"/>
  <c r="E35" i="8" s="1"/>
  <c r="T9" i="8"/>
  <c r="T7" i="8"/>
  <c r="T8" i="8"/>
  <c r="S6" i="8"/>
  <c r="S11" i="8" s="1"/>
  <c r="S16" i="8" s="1"/>
  <c r="M50" i="4"/>
  <c r="L55" i="4"/>
  <c r="L61" i="4"/>
  <c r="L47" i="4"/>
  <c r="N103" i="3"/>
  <c r="N79" i="3"/>
  <c r="N93" i="3"/>
  <c r="N69" i="3"/>
  <c r="N46" i="3"/>
  <c r="O43" i="3"/>
  <c r="N55" i="3"/>
  <c r="Q44" i="3"/>
  <c r="O27" i="3"/>
  <c r="N25" i="3"/>
  <c r="N36" i="3"/>
  <c r="N47" i="3"/>
  <c r="M48" i="3"/>
  <c r="T6" i="8" l="1"/>
  <c r="T11" i="8" s="1"/>
  <c r="T16" i="8" s="1"/>
  <c r="E18" i="8" s="1"/>
  <c r="O103" i="3"/>
  <c r="O79" i="3"/>
  <c r="O69" i="3"/>
  <c r="O93" i="3"/>
  <c r="N50" i="4"/>
  <c r="M61" i="4"/>
  <c r="M47" i="4"/>
  <c r="M55" i="4"/>
  <c r="P27" i="3"/>
  <c r="O25" i="3"/>
  <c r="O36" i="3"/>
  <c r="O47" i="3"/>
  <c r="O46" i="3"/>
  <c r="P43" i="3"/>
  <c r="O55" i="3"/>
  <c r="R44" i="3"/>
  <c r="N48" i="3"/>
  <c r="P103" i="3" l="1"/>
  <c r="P79" i="3"/>
  <c r="P69" i="3"/>
  <c r="P93" i="3"/>
  <c r="O50" i="4"/>
  <c r="N47" i="4"/>
  <c r="N55" i="4"/>
  <c r="N61" i="4"/>
  <c r="S44" i="3"/>
  <c r="P46" i="3"/>
  <c r="Q43" i="3"/>
  <c r="P55" i="3"/>
  <c r="Q27" i="3"/>
  <c r="P25" i="3"/>
  <c r="P36" i="3"/>
  <c r="P47" i="3"/>
  <c r="O48" i="3"/>
  <c r="Q103" i="3" l="1"/>
  <c r="Q79" i="3"/>
  <c r="Q69" i="3"/>
  <c r="Q93" i="3"/>
  <c r="P50" i="4"/>
  <c r="O55" i="4"/>
  <c r="O61" i="4"/>
  <c r="O47" i="4"/>
  <c r="R27" i="3"/>
  <c r="Q25" i="3"/>
  <c r="Q36" i="3"/>
  <c r="Q47" i="3"/>
  <c r="P48" i="3"/>
  <c r="Q46" i="3"/>
  <c r="R43" i="3"/>
  <c r="Q55" i="3"/>
  <c r="T44" i="3"/>
  <c r="R103" i="3" l="1"/>
  <c r="R79" i="3"/>
  <c r="Q48" i="3"/>
  <c r="R93" i="3"/>
  <c r="R69" i="3"/>
  <c r="Q50" i="4"/>
  <c r="P47" i="4"/>
  <c r="P55" i="4"/>
  <c r="P61" i="4"/>
  <c r="U44" i="3"/>
  <c r="R46" i="3"/>
  <c r="S43" i="3"/>
  <c r="R55" i="3"/>
  <c r="S27" i="3"/>
  <c r="R25" i="3"/>
  <c r="R36" i="3"/>
  <c r="R47" i="3"/>
  <c r="R50" i="4" l="1"/>
  <c r="Q47" i="4"/>
  <c r="Q55" i="4"/>
  <c r="Q61" i="4"/>
  <c r="S103" i="3"/>
  <c r="S79" i="3"/>
  <c r="S69" i="3"/>
  <c r="S93" i="3"/>
  <c r="T27" i="3"/>
  <c r="S36" i="3"/>
  <c r="S25" i="3"/>
  <c r="S47" i="3"/>
  <c r="S46" i="3"/>
  <c r="T43" i="3"/>
  <c r="S55" i="3"/>
  <c r="R48" i="3"/>
  <c r="T103" i="3" l="1"/>
  <c r="T79" i="3"/>
  <c r="T69" i="3"/>
  <c r="T93" i="3"/>
  <c r="S50" i="4"/>
  <c r="R61" i="4"/>
  <c r="R47" i="4"/>
  <c r="R55" i="4"/>
  <c r="U43" i="3"/>
  <c r="T46" i="3"/>
  <c r="T55" i="3"/>
  <c r="U27" i="3"/>
  <c r="T25" i="3"/>
  <c r="T36" i="3"/>
  <c r="T47" i="3"/>
  <c r="S48" i="3"/>
  <c r="T48" i="3" l="1"/>
  <c r="U69" i="3"/>
  <c r="X69" i="3" s="1"/>
  <c r="U93" i="3"/>
  <c r="X93" i="3" s="1"/>
  <c r="U103" i="3"/>
  <c r="X103" i="3" s="1"/>
  <c r="U79" i="3"/>
  <c r="X79" i="3" s="1"/>
  <c r="T50" i="4"/>
  <c r="S47" i="4"/>
  <c r="S55" i="4"/>
  <c r="S61" i="4"/>
  <c r="U25" i="3"/>
  <c r="X25" i="3" s="1"/>
  <c r="U36" i="3"/>
  <c r="X36" i="3" s="1"/>
  <c r="U47" i="3"/>
  <c r="U46" i="3"/>
  <c r="U55" i="3"/>
  <c r="X55" i="3" s="1"/>
  <c r="U48" i="3" l="1"/>
  <c r="X48" i="3" s="1"/>
  <c r="U50" i="4"/>
  <c r="T55" i="4"/>
  <c r="T47" i="4"/>
  <c r="T61" i="4"/>
  <c r="V50" i="4" l="1"/>
  <c r="U61" i="4"/>
  <c r="U47" i="4"/>
  <c r="U55" i="4"/>
  <c r="W50" i="4" l="1"/>
  <c r="V55" i="4"/>
  <c r="V61" i="4"/>
  <c r="V47" i="4"/>
  <c r="X50" i="4" l="1"/>
  <c r="W55" i="4"/>
  <c r="W61" i="4"/>
  <c r="W47" i="4"/>
  <c r="X47" i="4" l="1"/>
  <c r="AA47" i="4" s="1"/>
  <c r="X55" i="4"/>
  <c r="AA55" i="4" s="1"/>
  <c r="X61" i="4"/>
  <c r="AA61" i="4" s="1"/>
</calcChain>
</file>

<file path=xl/sharedStrings.xml><?xml version="1.0" encoding="utf-8"?>
<sst xmlns="http://schemas.openxmlformats.org/spreadsheetml/2006/main" count="697" uniqueCount="159">
  <si>
    <t>põlevkivi</t>
  </si>
  <si>
    <t>biomass</t>
  </si>
  <si>
    <t>turvas</t>
  </si>
  <si>
    <t>GWhs</t>
  </si>
  <si>
    <t>Reaalne</t>
  </si>
  <si>
    <t>%</t>
  </si>
  <si>
    <t>Lokaalküttele üleminek</t>
  </si>
  <si>
    <t>GWh</t>
  </si>
  <si>
    <t>Renoveerimised</t>
  </si>
  <si>
    <t>km</t>
  </si>
  <si>
    <t>MEUR</t>
  </si>
  <si>
    <t>katlad</t>
  </si>
  <si>
    <t>MW</t>
  </si>
  <si>
    <t>Tarbimise muutus</t>
  </si>
  <si>
    <t>Kadu soojusvõrgus</t>
  </si>
  <si>
    <t>Soojuse hind</t>
  </si>
  <si>
    <t>EUR/MWh</t>
  </si>
  <si>
    <t>CHP osakaalu kasv</t>
  </si>
  <si>
    <t>torustikud</t>
  </si>
  <si>
    <t>Välismõjud</t>
  </si>
  <si>
    <t>Muutused</t>
  </si>
  <si>
    <t>Keskkonnamõju muutus +/-</t>
  </si>
  <si>
    <t>CO2</t>
  </si>
  <si>
    <t>CO</t>
  </si>
  <si>
    <t>NOx</t>
  </si>
  <si>
    <t>SO2</t>
  </si>
  <si>
    <t>PM10</t>
  </si>
  <si>
    <t>HCB</t>
  </si>
  <si>
    <t>POS</t>
  </si>
  <si>
    <t>LOÜ</t>
  </si>
  <si>
    <t>tuhk</t>
  </si>
  <si>
    <t>metallid</t>
  </si>
  <si>
    <t>Tööhõive kasv in</t>
  </si>
  <si>
    <t>t</t>
  </si>
  <si>
    <t>Elektrivõrgu investeeringud MEUR</t>
  </si>
  <si>
    <t>Väliskaubanduse bilansi muutus MEUR</t>
  </si>
  <si>
    <t>Transpordi juurdekasv autot/päevas</t>
  </si>
  <si>
    <t>Kaugküte</t>
  </si>
  <si>
    <t>Energiaühistu</t>
  </si>
  <si>
    <t>Osa võrkudest kaob</t>
  </si>
  <si>
    <t>Aktsiisi laekumise muutus</t>
  </si>
  <si>
    <t>Sotsmaks</t>
  </si>
  <si>
    <t>Töötuskindlustus</t>
  </si>
  <si>
    <t>Tulumaks</t>
  </si>
  <si>
    <t>Katelde vahetus</t>
  </si>
  <si>
    <t>M€</t>
  </si>
  <si>
    <t>Torustike vahetus</t>
  </si>
  <si>
    <t>Üleminek taastuvale kütusele</t>
  </si>
  <si>
    <t>+</t>
  </si>
  <si>
    <t>-</t>
  </si>
  <si>
    <t>Käibemaksu laekumise muutus</t>
  </si>
  <si>
    <t>Kokku</t>
  </si>
  <si>
    <t>Üleminek taastuvatele kütustele</t>
  </si>
  <si>
    <t>Energiasääst katelde vahetusest</t>
  </si>
  <si>
    <t>Rahaline kokkuhoid</t>
  </si>
  <si>
    <t>Vahetatud võimsus</t>
  </si>
  <si>
    <t>Puidu maksumus</t>
  </si>
  <si>
    <t>€/MWh</t>
  </si>
  <si>
    <t xml:space="preserve">Katla kasutegur </t>
  </si>
  <si>
    <t>Puidu kallinemine aastas %</t>
  </si>
  <si>
    <t>Keskmine koormus</t>
  </si>
  <si>
    <t>Töötunnid</t>
  </si>
  <si>
    <t>MWh</t>
  </si>
  <si>
    <t>Kütuse vähenemine</t>
  </si>
  <si>
    <t>kokku</t>
  </si>
  <si>
    <t>Energiasaääst torude vahetusest</t>
  </si>
  <si>
    <t>Vahetatud torustik</t>
  </si>
  <si>
    <t>Kao vähenemine</t>
  </si>
  <si>
    <t>30W/m</t>
  </si>
  <si>
    <t>Gaasilt puidule</t>
  </si>
  <si>
    <t>Põlevkiviõlilt puidule</t>
  </si>
  <si>
    <t>PKÕ hind</t>
  </si>
  <si>
    <t>Gaasi hind</t>
  </si>
  <si>
    <t>Hinnatõus 1,5%/a</t>
  </si>
  <si>
    <t>Sääst PKÕ asendamisel</t>
  </si>
  <si>
    <t>Sääst gaasi asendamisel</t>
  </si>
  <si>
    <t>Kokku sääst</t>
  </si>
  <si>
    <t>sääst</t>
  </si>
  <si>
    <t>invest.</t>
  </si>
  <si>
    <t>Üleminek puitpelletile</t>
  </si>
  <si>
    <t>Üleminek soojuspumbale</t>
  </si>
  <si>
    <t>Trassikao vähenemine</t>
  </si>
  <si>
    <t>Kadu 15%</t>
  </si>
  <si>
    <t>Sääst</t>
  </si>
  <si>
    <t>inv.</t>
  </si>
  <si>
    <t>Kokku investeering</t>
  </si>
  <si>
    <t>Energaiasääst torude vahetusest</t>
  </si>
  <si>
    <t>Üleminek taastuvatele kütustele on sama kaugkütte stsenaariumiga</t>
  </si>
  <si>
    <t>Üleminek taastuvatele kütustele on sama keskkütte stsenaariumiga</t>
  </si>
  <si>
    <t>INVESTEERINGUD JA SÄÄST 2030</t>
  </si>
  <si>
    <t>INVESTEERINGUD JA SÄÄST 2050</t>
  </si>
  <si>
    <t>Puit 2030</t>
  </si>
  <si>
    <t>Sääst on kumulatiivne.</t>
  </si>
  <si>
    <t>Puidu hind</t>
  </si>
  <si>
    <t>Soojusmajanduse arengukavade koostamine tk.</t>
  </si>
  <si>
    <t>Kaugkütte stsenaarium</t>
  </si>
  <si>
    <t>Kaugküttevõrk</t>
  </si>
  <si>
    <t>Tarbimine</t>
  </si>
  <si>
    <t>Tootmine</t>
  </si>
  <si>
    <t>Koht- ja lokaalküte</t>
  </si>
  <si>
    <t>TWh</t>
  </si>
  <si>
    <t>PJ</t>
  </si>
  <si>
    <t>Reaalne stsenaarium</t>
  </si>
  <si>
    <t>Energiaühistute stsenaarium</t>
  </si>
  <si>
    <t>1TWh</t>
  </si>
  <si>
    <t>kivisüsi</t>
  </si>
  <si>
    <t>Kütuste kulu soojuse tootmisel.</t>
  </si>
  <si>
    <t>Puiduhake</t>
  </si>
  <si>
    <t>Halupuit</t>
  </si>
  <si>
    <t>€</t>
  </si>
  <si>
    <t>Kaugkütte sts.</t>
  </si>
  <si>
    <t>Reaalne sts.</t>
  </si>
  <si>
    <t>Energiaühistu sts.</t>
  </si>
  <si>
    <t>Maagaas</t>
  </si>
  <si>
    <t>t.m3</t>
  </si>
  <si>
    <t>Põlevkivi</t>
  </si>
  <si>
    <t>t.tonni</t>
  </si>
  <si>
    <t>Põlevkiviõli</t>
  </si>
  <si>
    <t>Turvas</t>
  </si>
  <si>
    <t>Uttegaas</t>
  </si>
  <si>
    <t>Kütteõli</t>
  </si>
  <si>
    <t>Kivisüsi</t>
  </si>
  <si>
    <t>Muu kütus sh. elekter</t>
  </si>
  <si>
    <t>milj.m3</t>
  </si>
  <si>
    <t>Biomass</t>
  </si>
  <si>
    <t>Milj.€</t>
  </si>
  <si>
    <t>MWh/t</t>
  </si>
  <si>
    <t xml:space="preserve">puithake </t>
  </si>
  <si>
    <t>halupuit</t>
  </si>
  <si>
    <t>maagaas</t>
  </si>
  <si>
    <t>MJ/m3</t>
  </si>
  <si>
    <t>MJ/kg</t>
  </si>
  <si>
    <t>Kohtküte</t>
  </si>
  <si>
    <t>Tootmiskulude hinnang.</t>
  </si>
  <si>
    <t>Kaugküttevõrkude müük</t>
  </si>
  <si>
    <t>Keskmine hind</t>
  </si>
  <si>
    <t>Müük</t>
  </si>
  <si>
    <t>Kasumimarginaal</t>
  </si>
  <si>
    <t>Soojuse tootmiskulu</t>
  </si>
  <si>
    <t>Soojuse tootmiskulude hinnang.</t>
  </si>
  <si>
    <t>Keskmine omahind</t>
  </si>
  <si>
    <t>Kohtkütte tarbimine</t>
  </si>
  <si>
    <t>Soojuse tootmiskulu kokku</t>
  </si>
  <si>
    <t>Töötajate arvu kasv võrreldes tänasega</t>
  </si>
  <si>
    <t>töötuskindlustus</t>
  </si>
  <si>
    <t>tulumaks</t>
  </si>
  <si>
    <t>Keskmine palk €</t>
  </si>
  <si>
    <t>kasv k</t>
  </si>
  <si>
    <t>Tööjõumaksud töötajale kokku</t>
  </si>
  <si>
    <t>Tööjõumaksu muutus</t>
  </si>
  <si>
    <t>Maksutulu muutus kokku</t>
  </si>
  <si>
    <t>Maksutulu investeeringutelt M€ k</t>
  </si>
  <si>
    <t>aktsiis 1000Nm3</t>
  </si>
  <si>
    <t>Gaasi kulu muutus tänasega Mm3</t>
  </si>
  <si>
    <t>Aktsiisi laekumise muutus(gaas)</t>
  </si>
  <si>
    <t>Käibemaksu muutus kaugküttes</t>
  </si>
  <si>
    <t>Energiaühistud</t>
  </si>
  <si>
    <t>Maksutulu muutus 2015-2030</t>
  </si>
  <si>
    <t xml:space="preserve">Täiendav maksutulu laekumine 2015-2030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</si>
</sst>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0.0"/>
    <numFmt numFmtId="165" formatCode="0.000"/>
    <numFmt numFmtId="166" formatCode="0.000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00B0F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166" fontId="0" fillId="0" borderId="0" xfId="0" applyNumberFormat="1"/>
    <xf numFmtId="0" fontId="4" fillId="0" borderId="0" xfId="0" applyFont="1"/>
    <xf numFmtId="0" fontId="0" fillId="0" borderId="4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43" fontId="0" fillId="0" borderId="0" xfId="1" applyFont="1"/>
    <xf numFmtId="43" fontId="0" fillId="0" borderId="0" xfId="0" applyNumberFormat="1"/>
    <xf numFmtId="0" fontId="8" fillId="0" borderId="0" xfId="0" applyFont="1"/>
    <xf numFmtId="16" fontId="0" fillId="0" borderId="0" xfId="0" applyNumberFormat="1"/>
    <xf numFmtId="9" fontId="0" fillId="0" borderId="0" xfId="0" applyNumberFormat="1"/>
    <xf numFmtId="1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K29" sqref="K29"/>
    </sheetView>
  </sheetViews>
  <sheetFormatPr defaultRowHeight="14.4" x14ac:dyDescent="0.3"/>
  <sheetData>
    <row r="1" spans="1:15" x14ac:dyDescent="0.3">
      <c r="A1" s="2" t="s">
        <v>20</v>
      </c>
      <c r="F1" t="s">
        <v>37</v>
      </c>
      <c r="J1" t="s">
        <v>4</v>
      </c>
      <c r="N1" t="s">
        <v>38</v>
      </c>
    </row>
    <row r="2" spans="1:15" x14ac:dyDescent="0.3">
      <c r="F2" s="1">
        <v>2030</v>
      </c>
      <c r="G2" s="1">
        <v>2050</v>
      </c>
      <c r="J2" s="1">
        <v>2030</v>
      </c>
      <c r="K2" s="1">
        <v>2050</v>
      </c>
      <c r="N2" s="1">
        <v>2030</v>
      </c>
      <c r="O2" s="1">
        <v>2050</v>
      </c>
    </row>
    <row r="3" spans="1:15" x14ac:dyDescent="0.3">
      <c r="A3" t="s">
        <v>17</v>
      </c>
      <c r="D3" t="s">
        <v>3</v>
      </c>
      <c r="F3">
        <v>70</v>
      </c>
      <c r="G3">
        <v>140</v>
      </c>
      <c r="J3">
        <v>65</v>
      </c>
      <c r="K3">
        <v>130</v>
      </c>
      <c r="N3">
        <v>60</v>
      </c>
      <c r="O3">
        <v>120</v>
      </c>
    </row>
    <row r="11" spans="1:15" x14ac:dyDescent="0.3">
      <c r="A11" t="s">
        <v>94</v>
      </c>
      <c r="F11">
        <v>239</v>
      </c>
      <c r="J11">
        <v>239</v>
      </c>
      <c r="N11">
        <v>239</v>
      </c>
    </row>
    <row r="12" spans="1:15" x14ac:dyDescent="0.3">
      <c r="A12" t="s">
        <v>6</v>
      </c>
      <c r="D12" t="s">
        <v>7</v>
      </c>
      <c r="F12">
        <v>70</v>
      </c>
      <c r="G12">
        <v>90</v>
      </c>
      <c r="J12">
        <v>93</v>
      </c>
      <c r="K12">
        <v>160</v>
      </c>
      <c r="N12">
        <v>160</v>
      </c>
      <c r="O12">
        <v>293</v>
      </c>
    </row>
    <row r="13" spans="1:15" x14ac:dyDescent="0.3">
      <c r="C13" t="s">
        <v>84</v>
      </c>
      <c r="D13" t="s">
        <v>10</v>
      </c>
      <c r="F13">
        <v>14</v>
      </c>
      <c r="G13">
        <v>18</v>
      </c>
      <c r="J13">
        <v>18</v>
      </c>
      <c r="K13">
        <v>32</v>
      </c>
      <c r="N13">
        <v>32</v>
      </c>
      <c r="O13">
        <v>59</v>
      </c>
    </row>
    <row r="14" spans="1:15" x14ac:dyDescent="0.3">
      <c r="C14" t="s">
        <v>77</v>
      </c>
      <c r="D14" t="s">
        <v>7</v>
      </c>
      <c r="F14">
        <v>105</v>
      </c>
      <c r="G14">
        <f>284+105</f>
        <v>389</v>
      </c>
      <c r="J14">
        <v>139</v>
      </c>
      <c r="K14">
        <f>452+139</f>
        <v>591</v>
      </c>
      <c r="N14">
        <v>240</v>
      </c>
      <c r="O14">
        <f>N14+811</f>
        <v>1051</v>
      </c>
    </row>
    <row r="15" spans="1:15" x14ac:dyDescent="0.3">
      <c r="C15" t="s">
        <v>77</v>
      </c>
      <c r="D15" t="s">
        <v>10</v>
      </c>
      <c r="F15">
        <v>5.0999999999999996</v>
      </c>
      <c r="G15">
        <f>8.4+5.1</f>
        <v>13.5</v>
      </c>
      <c r="J15">
        <v>6.8</v>
      </c>
      <c r="K15">
        <f>13.4+6.8</f>
        <v>20.2</v>
      </c>
      <c r="N15">
        <v>11.7</v>
      </c>
      <c r="O15">
        <f>N15+24.1</f>
        <v>35.799999999999997</v>
      </c>
    </row>
    <row r="16" spans="1:15" x14ac:dyDescent="0.3">
      <c r="A16" t="s">
        <v>8</v>
      </c>
    </row>
    <row r="17" spans="1:17" x14ac:dyDescent="0.3">
      <c r="B17" t="s">
        <v>18</v>
      </c>
      <c r="D17" t="s">
        <v>9</v>
      </c>
      <c r="F17">
        <v>200</v>
      </c>
      <c r="G17">
        <v>850</v>
      </c>
      <c r="J17">
        <v>400</v>
      </c>
      <c r="K17">
        <v>830</v>
      </c>
      <c r="N17">
        <v>700</v>
      </c>
      <c r="O17">
        <v>700</v>
      </c>
      <c r="Q17" t="s">
        <v>39</v>
      </c>
    </row>
    <row r="18" spans="1:17" x14ac:dyDescent="0.3">
      <c r="D18" t="s">
        <v>10</v>
      </c>
      <c r="F18">
        <v>60</v>
      </c>
      <c r="G18">
        <v>255</v>
      </c>
      <c r="J18">
        <v>120</v>
      </c>
      <c r="K18">
        <v>249</v>
      </c>
      <c r="N18">
        <v>210</v>
      </c>
      <c r="O18">
        <v>210</v>
      </c>
    </row>
    <row r="19" spans="1:17" x14ac:dyDescent="0.3">
      <c r="C19" t="s">
        <v>77</v>
      </c>
      <c r="D19" t="s">
        <v>7</v>
      </c>
      <c r="F19">
        <v>255</v>
      </c>
      <c r="G19">
        <f>1624+255</f>
        <v>1879</v>
      </c>
      <c r="J19">
        <v>510</v>
      </c>
      <c r="K19">
        <f>1877+510</f>
        <v>2387</v>
      </c>
      <c r="N19">
        <v>893</v>
      </c>
      <c r="O19">
        <f>N19+2100</f>
        <v>2993</v>
      </c>
    </row>
    <row r="20" spans="1:17" x14ac:dyDescent="0.3">
      <c r="C20" t="s">
        <v>77</v>
      </c>
      <c r="D20" t="s">
        <v>10</v>
      </c>
      <c r="F20">
        <v>5.3</v>
      </c>
      <c r="G20">
        <f>44.1+5.3</f>
        <v>49.4</v>
      </c>
      <c r="J20">
        <v>10.7</v>
      </c>
      <c r="K20">
        <f>50.4+10.7</f>
        <v>61.099999999999994</v>
      </c>
      <c r="N20">
        <v>18.7</v>
      </c>
      <c r="O20">
        <f>N20+55.4</f>
        <v>74.099999999999994</v>
      </c>
    </row>
    <row r="21" spans="1:17" x14ac:dyDescent="0.3">
      <c r="B21" t="s">
        <v>11</v>
      </c>
      <c r="D21" t="s">
        <v>12</v>
      </c>
      <c r="F21">
        <v>2000</v>
      </c>
      <c r="G21">
        <v>5300</v>
      </c>
      <c r="J21">
        <v>2000</v>
      </c>
      <c r="K21">
        <v>5200</v>
      </c>
      <c r="N21">
        <v>1900</v>
      </c>
      <c r="O21">
        <v>5000</v>
      </c>
    </row>
    <row r="22" spans="1:17" x14ac:dyDescent="0.3">
      <c r="D22" t="s">
        <v>10</v>
      </c>
      <c r="F22">
        <v>600</v>
      </c>
      <c r="G22">
        <v>1590</v>
      </c>
      <c r="J22">
        <v>600</v>
      </c>
      <c r="K22">
        <v>1560</v>
      </c>
      <c r="N22">
        <v>570</v>
      </c>
      <c r="O22">
        <v>1500</v>
      </c>
    </row>
    <row r="23" spans="1:17" x14ac:dyDescent="0.3">
      <c r="C23" t="s">
        <v>77</v>
      </c>
      <c r="D23" t="s">
        <v>7</v>
      </c>
      <c r="F23">
        <v>344</v>
      </c>
      <c r="G23">
        <f>1512+344</f>
        <v>1856</v>
      </c>
      <c r="J23">
        <v>344</v>
      </c>
      <c r="K23">
        <f>1490+344</f>
        <v>1834</v>
      </c>
      <c r="N23">
        <v>328</v>
      </c>
      <c r="O23">
        <f>N23+1429</f>
        <v>1757</v>
      </c>
    </row>
    <row r="24" spans="1:17" x14ac:dyDescent="0.3">
      <c r="C24" t="s">
        <v>77</v>
      </c>
      <c r="D24" t="s">
        <v>10</v>
      </c>
      <c r="F24">
        <v>8</v>
      </c>
      <c r="G24">
        <f>45.3+8</f>
        <v>53.3</v>
      </c>
      <c r="J24">
        <v>8</v>
      </c>
      <c r="K24">
        <f>44.7+8</f>
        <v>52.7</v>
      </c>
      <c r="N24">
        <v>7.6</v>
      </c>
      <c r="O24">
        <f>N24+42.8</f>
        <v>50.4</v>
      </c>
    </row>
    <row r="26" spans="1:17" x14ac:dyDescent="0.3">
      <c r="A26" t="s">
        <v>52</v>
      </c>
      <c r="D26" t="s">
        <v>7</v>
      </c>
      <c r="F26">
        <v>493</v>
      </c>
      <c r="G26">
        <v>493</v>
      </c>
      <c r="J26">
        <v>493</v>
      </c>
      <c r="K26">
        <v>493</v>
      </c>
      <c r="N26">
        <v>493</v>
      </c>
      <c r="O26">
        <v>493</v>
      </c>
    </row>
    <row r="27" spans="1:17" x14ac:dyDescent="0.3">
      <c r="C27" t="s">
        <v>77</v>
      </c>
      <c r="D27" t="s">
        <v>10</v>
      </c>
      <c r="F27">
        <v>93.6</v>
      </c>
      <c r="G27">
        <v>93.6</v>
      </c>
      <c r="J27">
        <v>93.6</v>
      </c>
      <c r="K27">
        <v>93.6</v>
      </c>
      <c r="N27">
        <v>93.6</v>
      </c>
      <c r="O27">
        <v>93.6</v>
      </c>
    </row>
    <row r="28" spans="1:17" x14ac:dyDescent="0.3">
      <c r="C28" t="s">
        <v>78</v>
      </c>
      <c r="D28" t="s">
        <v>10</v>
      </c>
      <c r="F28">
        <v>205</v>
      </c>
      <c r="G28">
        <v>205</v>
      </c>
      <c r="J28">
        <v>205</v>
      </c>
      <c r="K28">
        <v>205</v>
      </c>
      <c r="N28">
        <v>205</v>
      </c>
      <c r="O28">
        <v>205</v>
      </c>
    </row>
    <row r="30" spans="1:17" x14ac:dyDescent="0.3">
      <c r="A30" s="2" t="s">
        <v>85</v>
      </c>
      <c r="D30" t="s">
        <v>10</v>
      </c>
      <c r="F30">
        <f>F13+F18+F22+F28</f>
        <v>879</v>
      </c>
      <c r="G30">
        <f>G15+G18+G22</f>
        <v>1858.5</v>
      </c>
      <c r="J30">
        <f>J15+J18+J22</f>
        <v>726.8</v>
      </c>
      <c r="K30">
        <f>K15+K18+K22</f>
        <v>1829.2</v>
      </c>
      <c r="N30">
        <f>N15+N18+N22</f>
        <v>791.7</v>
      </c>
      <c r="O30">
        <f>O15+O18+O22</f>
        <v>1745.8</v>
      </c>
    </row>
    <row r="32" spans="1:17" x14ac:dyDescent="0.3">
      <c r="A32" t="s">
        <v>15</v>
      </c>
      <c r="D32" t="s">
        <v>16</v>
      </c>
      <c r="F32">
        <v>84</v>
      </c>
      <c r="G32">
        <v>125</v>
      </c>
      <c r="J32">
        <v>86</v>
      </c>
      <c r="K32">
        <v>128</v>
      </c>
      <c r="N32">
        <v>90</v>
      </c>
      <c r="O32">
        <v>132</v>
      </c>
    </row>
    <row r="33" spans="1:15" x14ac:dyDescent="0.3">
      <c r="A33" t="s">
        <v>13</v>
      </c>
      <c r="D33" t="s">
        <v>7</v>
      </c>
      <c r="F33">
        <v>168</v>
      </c>
      <c r="G33">
        <v>392</v>
      </c>
      <c r="J33">
        <v>1267</v>
      </c>
      <c r="K33">
        <v>2950</v>
      </c>
      <c r="N33">
        <v>2355</v>
      </c>
      <c r="O33">
        <v>5495</v>
      </c>
    </row>
    <row r="35" spans="1:15" x14ac:dyDescent="0.3">
      <c r="A35" t="s">
        <v>14</v>
      </c>
      <c r="D35" t="s">
        <v>5</v>
      </c>
      <c r="F35">
        <v>15</v>
      </c>
      <c r="G35">
        <v>13</v>
      </c>
      <c r="J35">
        <v>14</v>
      </c>
      <c r="K35">
        <v>12</v>
      </c>
      <c r="N35">
        <v>12</v>
      </c>
      <c r="O35">
        <v>10</v>
      </c>
    </row>
    <row r="36" spans="1:15" x14ac:dyDescent="0.3">
      <c r="D36" t="s">
        <v>7</v>
      </c>
      <c r="F36">
        <v>750</v>
      </c>
      <c r="G36">
        <v>570</v>
      </c>
      <c r="J36">
        <v>603</v>
      </c>
      <c r="K36">
        <v>354</v>
      </c>
      <c r="N36">
        <v>427</v>
      </c>
      <c r="O36">
        <v>228</v>
      </c>
    </row>
    <row r="38" spans="1:15" x14ac:dyDescent="0.3">
      <c r="B38" t="s">
        <v>92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F26" sqref="F26"/>
    </sheetView>
  </sheetViews>
  <sheetFormatPr defaultRowHeight="14.4" x14ac:dyDescent="0.3"/>
  <sheetData>
    <row r="1" spans="1:12" x14ac:dyDescent="0.3">
      <c r="A1" s="2" t="s">
        <v>19</v>
      </c>
    </row>
    <row r="3" spans="1:12" x14ac:dyDescent="0.3">
      <c r="F3" t="s">
        <v>37</v>
      </c>
      <c r="I3" t="s">
        <v>4</v>
      </c>
      <c r="L3" t="s">
        <v>38</v>
      </c>
    </row>
    <row r="4" spans="1:12" x14ac:dyDescent="0.3">
      <c r="F4">
        <v>2030</v>
      </c>
      <c r="I4">
        <v>2030</v>
      </c>
      <c r="L4">
        <v>2030</v>
      </c>
    </row>
    <row r="6" spans="1:12" x14ac:dyDescent="0.3">
      <c r="A6" t="s">
        <v>21</v>
      </c>
    </row>
    <row r="7" spans="1:12" x14ac:dyDescent="0.3">
      <c r="A7" t="s">
        <v>22</v>
      </c>
      <c r="B7" t="s">
        <v>33</v>
      </c>
    </row>
    <row r="8" spans="1:12" x14ac:dyDescent="0.3">
      <c r="A8" t="s">
        <v>23</v>
      </c>
    </row>
    <row r="9" spans="1:12" x14ac:dyDescent="0.3">
      <c r="A9" t="s">
        <v>24</v>
      </c>
    </row>
    <row r="10" spans="1:12" x14ac:dyDescent="0.3">
      <c r="A10" t="s">
        <v>25</v>
      </c>
    </row>
    <row r="11" spans="1:12" x14ac:dyDescent="0.3">
      <c r="A11" t="s">
        <v>26</v>
      </c>
    </row>
    <row r="12" spans="1:12" x14ac:dyDescent="0.3">
      <c r="A12" t="s">
        <v>27</v>
      </c>
    </row>
    <row r="13" spans="1:12" x14ac:dyDescent="0.3">
      <c r="A13" t="s">
        <v>28</v>
      </c>
    </row>
    <row r="14" spans="1:12" x14ac:dyDescent="0.3">
      <c r="A14" t="s">
        <v>29</v>
      </c>
    </row>
    <row r="15" spans="1:12" x14ac:dyDescent="0.3">
      <c r="A15" t="s">
        <v>30</v>
      </c>
    </row>
    <row r="16" spans="1:12" x14ac:dyDescent="0.3">
      <c r="A16" t="s">
        <v>31</v>
      </c>
    </row>
    <row r="18" spans="1:12" x14ac:dyDescent="0.3">
      <c r="A18" t="s">
        <v>32</v>
      </c>
      <c r="F18">
        <v>1042</v>
      </c>
      <c r="I18">
        <v>1016</v>
      </c>
      <c r="L18">
        <v>857</v>
      </c>
    </row>
    <row r="19" spans="1:12" x14ac:dyDescent="0.3">
      <c r="A19" t="s">
        <v>34</v>
      </c>
      <c r="F19">
        <v>22.5</v>
      </c>
      <c r="I19">
        <v>25</v>
      </c>
      <c r="L19">
        <v>28</v>
      </c>
    </row>
    <row r="20" spans="1:12" x14ac:dyDescent="0.3">
      <c r="A20" t="s">
        <v>36</v>
      </c>
      <c r="F20">
        <v>236</v>
      </c>
      <c r="I20">
        <v>204</v>
      </c>
      <c r="L20">
        <v>184</v>
      </c>
    </row>
    <row r="21" spans="1:12" x14ac:dyDescent="0.3">
      <c r="A21" t="s">
        <v>35</v>
      </c>
      <c r="F21">
        <v>-448.5</v>
      </c>
      <c r="I21">
        <v>-472</v>
      </c>
      <c r="L21">
        <v>-448.6</v>
      </c>
    </row>
    <row r="22" spans="1:12" x14ac:dyDescent="0.3">
      <c r="A22" t="s">
        <v>50</v>
      </c>
      <c r="D22" t="s">
        <v>10</v>
      </c>
      <c r="E22" t="s">
        <v>48</v>
      </c>
      <c r="F22">
        <v>2.8559999999999999</v>
      </c>
      <c r="H22" t="s">
        <v>49</v>
      </c>
      <c r="I22">
        <v>23</v>
      </c>
      <c r="K22" t="s">
        <v>49</v>
      </c>
      <c r="L22">
        <v>47.3</v>
      </c>
    </row>
    <row r="24" spans="1:12" x14ac:dyDescent="0.3">
      <c r="A24" t="s">
        <v>41</v>
      </c>
      <c r="D24" t="s">
        <v>10</v>
      </c>
      <c r="F24">
        <v>7.42</v>
      </c>
      <c r="I24">
        <v>7.24</v>
      </c>
      <c r="L24">
        <v>6.1</v>
      </c>
    </row>
    <row r="25" spans="1:12" x14ac:dyDescent="0.3">
      <c r="A25" t="s">
        <v>42</v>
      </c>
      <c r="D25" t="s">
        <v>10</v>
      </c>
      <c r="F25">
        <v>0.22500000000000001</v>
      </c>
      <c r="I25">
        <v>0.219</v>
      </c>
      <c r="L25">
        <v>0.185</v>
      </c>
    </row>
    <row r="26" spans="1:12" x14ac:dyDescent="0.3">
      <c r="A26" t="s">
        <v>43</v>
      </c>
      <c r="D26" t="s">
        <v>10</v>
      </c>
      <c r="F26">
        <v>4.3</v>
      </c>
      <c r="I26">
        <v>4.1900000000000004</v>
      </c>
      <c r="L26">
        <v>3.5369999999999999</v>
      </c>
    </row>
    <row r="27" spans="1:12" x14ac:dyDescent="0.3">
      <c r="A27" t="s">
        <v>40</v>
      </c>
      <c r="D27" t="s">
        <v>10</v>
      </c>
      <c r="E27" t="s">
        <v>49</v>
      </c>
      <c r="F27">
        <v>1.18</v>
      </c>
      <c r="H27" t="s">
        <v>49</v>
      </c>
      <c r="I27">
        <v>1.42</v>
      </c>
      <c r="K27" t="s">
        <v>49</v>
      </c>
      <c r="L27">
        <v>1.71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zoomScaleNormal="100" workbookViewId="0">
      <selection activeCell="X20" sqref="X20"/>
    </sheetView>
  </sheetViews>
  <sheetFormatPr defaultRowHeight="14.4" x14ac:dyDescent="0.3"/>
  <cols>
    <col min="7" max="7" width="9.5546875" bestFit="1" customWidth="1"/>
  </cols>
  <sheetData>
    <row r="1" spans="1:24" x14ac:dyDescent="0.3">
      <c r="A1" s="11" t="s">
        <v>89</v>
      </c>
      <c r="B1" s="12"/>
      <c r="C1" s="12"/>
      <c r="D1" s="13"/>
    </row>
    <row r="2" spans="1:24" ht="15" thickBot="1" x14ac:dyDescent="0.35">
      <c r="A2" s="10"/>
      <c r="B2" s="14"/>
      <c r="C2" s="14"/>
      <c r="D2" s="15"/>
    </row>
    <row r="3" spans="1:24" x14ac:dyDescent="0.3">
      <c r="C3" s="18"/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  <c r="M3">
        <v>2022</v>
      </c>
      <c r="N3">
        <v>2023</v>
      </c>
      <c r="O3">
        <v>2024</v>
      </c>
      <c r="P3">
        <v>2025</v>
      </c>
      <c r="Q3">
        <v>2026</v>
      </c>
      <c r="R3">
        <v>2027</v>
      </c>
      <c r="S3">
        <v>2028</v>
      </c>
      <c r="T3">
        <v>2029</v>
      </c>
      <c r="U3">
        <v>2030</v>
      </c>
    </row>
    <row r="4" spans="1:24" x14ac:dyDescent="0.3">
      <c r="A4" s="2" t="s">
        <v>37</v>
      </c>
    </row>
    <row r="5" spans="1:24" x14ac:dyDescent="0.3">
      <c r="A5" t="s">
        <v>44</v>
      </c>
      <c r="E5" t="s">
        <v>45</v>
      </c>
      <c r="F5">
        <v>37.5</v>
      </c>
      <c r="G5">
        <v>37.5</v>
      </c>
      <c r="H5">
        <v>37.5</v>
      </c>
      <c r="I5">
        <v>37.5</v>
      </c>
      <c r="J5">
        <v>37.5</v>
      </c>
      <c r="K5">
        <v>37.5</v>
      </c>
      <c r="L5">
        <v>37.5</v>
      </c>
      <c r="M5">
        <v>37.5</v>
      </c>
      <c r="N5">
        <v>37.5</v>
      </c>
      <c r="O5">
        <v>37.5</v>
      </c>
      <c r="P5">
        <v>37.5</v>
      </c>
      <c r="Q5">
        <v>37.5</v>
      </c>
      <c r="R5">
        <v>37.5</v>
      </c>
      <c r="S5">
        <v>37.5</v>
      </c>
      <c r="T5">
        <v>37.5</v>
      </c>
      <c r="U5">
        <v>37.5</v>
      </c>
      <c r="W5" t="s">
        <v>51</v>
      </c>
      <c r="X5">
        <f>SUM(F5:U5)</f>
        <v>600</v>
      </c>
    </row>
    <row r="6" spans="1:24" x14ac:dyDescent="0.3">
      <c r="A6" t="s">
        <v>46</v>
      </c>
      <c r="E6" t="s">
        <v>45</v>
      </c>
      <c r="F6">
        <v>3.75</v>
      </c>
      <c r="G6">
        <v>3.75</v>
      </c>
      <c r="H6">
        <v>3.75</v>
      </c>
      <c r="I6">
        <v>3.75</v>
      </c>
      <c r="J6">
        <v>3.75</v>
      </c>
      <c r="K6">
        <v>3.75</v>
      </c>
      <c r="L6">
        <v>3.75</v>
      </c>
      <c r="M6">
        <v>3.75</v>
      </c>
      <c r="N6">
        <v>3.75</v>
      </c>
      <c r="O6">
        <v>3.75</v>
      </c>
      <c r="P6">
        <v>3.75</v>
      </c>
      <c r="Q6">
        <v>3.75</v>
      </c>
      <c r="R6">
        <v>3.75</v>
      </c>
      <c r="S6">
        <v>3.75</v>
      </c>
      <c r="T6">
        <v>3.75</v>
      </c>
      <c r="U6">
        <v>3.75</v>
      </c>
      <c r="W6" t="s">
        <v>51</v>
      </c>
      <c r="X6">
        <f>SUM(F6:U6)</f>
        <v>60</v>
      </c>
    </row>
    <row r="7" spans="1:24" x14ac:dyDescent="0.3">
      <c r="A7" t="s">
        <v>47</v>
      </c>
      <c r="E7" t="s">
        <v>45</v>
      </c>
      <c r="F7">
        <v>12.8</v>
      </c>
      <c r="G7">
        <v>12.8</v>
      </c>
      <c r="H7">
        <v>12.8</v>
      </c>
      <c r="I7">
        <v>12.8</v>
      </c>
      <c r="J7">
        <v>12.8</v>
      </c>
      <c r="K7">
        <v>12.8</v>
      </c>
      <c r="L7">
        <v>12.8</v>
      </c>
      <c r="M7">
        <v>12.8</v>
      </c>
      <c r="N7">
        <v>12.8</v>
      </c>
      <c r="O7">
        <v>12.8</v>
      </c>
      <c r="P7">
        <v>12.8</v>
      </c>
      <c r="Q7">
        <v>12.8</v>
      </c>
      <c r="R7">
        <v>12.8</v>
      </c>
      <c r="S7">
        <v>12.8</v>
      </c>
      <c r="T7">
        <v>12.8</v>
      </c>
      <c r="U7">
        <v>12.8</v>
      </c>
      <c r="W7" t="s">
        <v>51</v>
      </c>
      <c r="X7" s="7">
        <f>SUM(F7:U7)</f>
        <v>204.80000000000004</v>
      </c>
    </row>
    <row r="8" spans="1:24" x14ac:dyDescent="0.3">
      <c r="A8" t="s">
        <v>6</v>
      </c>
      <c r="E8" t="s">
        <v>45</v>
      </c>
      <c r="F8">
        <v>0.875</v>
      </c>
      <c r="G8">
        <v>0.875</v>
      </c>
      <c r="H8">
        <v>0.875</v>
      </c>
      <c r="I8">
        <v>0.875</v>
      </c>
      <c r="J8">
        <v>0.875</v>
      </c>
      <c r="K8">
        <v>0.875</v>
      </c>
      <c r="L8">
        <v>0.875</v>
      </c>
      <c r="M8">
        <v>0.875</v>
      </c>
      <c r="N8">
        <v>0.875</v>
      </c>
      <c r="O8">
        <v>0.875</v>
      </c>
      <c r="P8">
        <v>0.875</v>
      </c>
      <c r="Q8">
        <v>0.875</v>
      </c>
      <c r="R8">
        <v>0.875</v>
      </c>
      <c r="S8">
        <v>0.875</v>
      </c>
      <c r="T8">
        <v>0.875</v>
      </c>
      <c r="U8">
        <v>0.875</v>
      </c>
      <c r="W8" t="s">
        <v>51</v>
      </c>
      <c r="X8">
        <f>SUM(F8:U8)</f>
        <v>14</v>
      </c>
    </row>
    <row r="9" spans="1:24" x14ac:dyDescent="0.3">
      <c r="A9" t="s">
        <v>51</v>
      </c>
      <c r="E9" t="s">
        <v>45</v>
      </c>
      <c r="F9">
        <f>SUM(F5:F8)</f>
        <v>54.924999999999997</v>
      </c>
      <c r="G9">
        <f t="shared" ref="G9:U9" si="0">SUM(G5:G8)</f>
        <v>54.924999999999997</v>
      </c>
      <c r="H9">
        <f t="shared" si="0"/>
        <v>54.924999999999997</v>
      </c>
      <c r="I9">
        <f t="shared" si="0"/>
        <v>54.924999999999997</v>
      </c>
      <c r="J9">
        <f t="shared" si="0"/>
        <v>54.924999999999997</v>
      </c>
      <c r="K9">
        <f t="shared" si="0"/>
        <v>54.924999999999997</v>
      </c>
      <c r="L9">
        <f t="shared" si="0"/>
        <v>54.924999999999997</v>
      </c>
      <c r="M9">
        <f t="shared" si="0"/>
        <v>54.924999999999997</v>
      </c>
      <c r="N9">
        <f t="shared" si="0"/>
        <v>54.924999999999997</v>
      </c>
      <c r="O9">
        <f t="shared" si="0"/>
        <v>54.924999999999997</v>
      </c>
      <c r="P9">
        <f t="shared" si="0"/>
        <v>54.924999999999997</v>
      </c>
      <c r="Q9">
        <f t="shared" si="0"/>
        <v>54.924999999999997</v>
      </c>
      <c r="R9">
        <f t="shared" si="0"/>
        <v>54.924999999999997</v>
      </c>
      <c r="S9">
        <f t="shared" si="0"/>
        <v>54.924999999999997</v>
      </c>
      <c r="T9">
        <f t="shared" si="0"/>
        <v>54.924999999999997</v>
      </c>
      <c r="U9">
        <f t="shared" si="0"/>
        <v>54.924999999999997</v>
      </c>
      <c r="W9" t="s">
        <v>51</v>
      </c>
      <c r="X9" s="7">
        <f>SUM(F9:U9)</f>
        <v>878.79999999999973</v>
      </c>
    </row>
    <row r="11" spans="1:24" x14ac:dyDescent="0.3">
      <c r="A11" s="16" t="s">
        <v>4</v>
      </c>
    </row>
    <row r="12" spans="1:24" x14ac:dyDescent="0.3">
      <c r="A12" t="s">
        <v>44</v>
      </c>
      <c r="E12" t="s">
        <v>45</v>
      </c>
      <c r="F12">
        <v>37.5</v>
      </c>
      <c r="G12">
        <v>37.5</v>
      </c>
      <c r="H12">
        <v>37.5</v>
      </c>
      <c r="I12">
        <v>37.5</v>
      </c>
      <c r="J12">
        <v>37.5</v>
      </c>
      <c r="K12">
        <v>37.5</v>
      </c>
      <c r="L12">
        <v>37.5</v>
      </c>
      <c r="M12">
        <v>37.5</v>
      </c>
      <c r="N12">
        <v>37.5</v>
      </c>
      <c r="O12">
        <v>37.5</v>
      </c>
      <c r="P12">
        <v>37.5</v>
      </c>
      <c r="Q12">
        <v>37.5</v>
      </c>
      <c r="R12">
        <v>37.5</v>
      </c>
      <c r="S12">
        <v>37.5</v>
      </c>
      <c r="T12">
        <v>37.5</v>
      </c>
      <c r="U12">
        <v>37.5</v>
      </c>
      <c r="W12" t="s">
        <v>51</v>
      </c>
      <c r="X12" s="7">
        <f>SUM(G12:U12)</f>
        <v>562.5</v>
      </c>
    </row>
    <row r="13" spans="1:24" x14ac:dyDescent="0.3">
      <c r="A13" t="s">
        <v>46</v>
      </c>
      <c r="E13" t="s">
        <v>45</v>
      </c>
      <c r="F13">
        <v>7.5</v>
      </c>
      <c r="G13">
        <v>7.5</v>
      </c>
      <c r="H13">
        <v>7.5</v>
      </c>
      <c r="I13">
        <v>7.5</v>
      </c>
      <c r="J13">
        <v>7.5</v>
      </c>
      <c r="K13">
        <v>7.5</v>
      </c>
      <c r="L13">
        <v>7.5</v>
      </c>
      <c r="M13">
        <v>7.5</v>
      </c>
      <c r="N13">
        <v>7.5</v>
      </c>
      <c r="O13">
        <v>7.5</v>
      </c>
      <c r="P13">
        <v>7.5</v>
      </c>
      <c r="Q13">
        <v>7.5</v>
      </c>
      <c r="R13">
        <v>7.5</v>
      </c>
      <c r="S13">
        <v>7.5</v>
      </c>
      <c r="T13">
        <v>7.5</v>
      </c>
      <c r="U13">
        <v>7.5</v>
      </c>
      <c r="W13" t="s">
        <v>51</v>
      </c>
      <c r="X13" s="7">
        <f>SUM(G13:U13)</f>
        <v>112.5</v>
      </c>
    </row>
    <row r="14" spans="1:24" x14ac:dyDescent="0.3">
      <c r="A14" t="s">
        <v>47</v>
      </c>
      <c r="E14" t="s">
        <v>45</v>
      </c>
      <c r="F14">
        <v>12.8</v>
      </c>
      <c r="G14">
        <v>12.8</v>
      </c>
      <c r="H14">
        <v>12.8</v>
      </c>
      <c r="I14">
        <v>12.8</v>
      </c>
      <c r="J14">
        <v>12.8</v>
      </c>
      <c r="K14">
        <v>12.8</v>
      </c>
      <c r="L14">
        <v>12.8</v>
      </c>
      <c r="M14">
        <v>12.8</v>
      </c>
      <c r="N14">
        <v>12.8</v>
      </c>
      <c r="O14">
        <v>12.8</v>
      </c>
      <c r="P14">
        <v>12.8</v>
      </c>
      <c r="Q14">
        <v>12.8</v>
      </c>
      <c r="R14">
        <v>12.8</v>
      </c>
      <c r="S14">
        <v>12.8</v>
      </c>
      <c r="T14">
        <v>12.8</v>
      </c>
      <c r="U14">
        <v>12.8</v>
      </c>
      <c r="W14" t="s">
        <v>51</v>
      </c>
      <c r="X14">
        <f>SUM(G14:U14)</f>
        <v>192.00000000000003</v>
      </c>
    </row>
    <row r="15" spans="1:24" x14ac:dyDescent="0.3">
      <c r="A15" t="s">
        <v>6</v>
      </c>
      <c r="E15" t="s">
        <v>45</v>
      </c>
      <c r="F15">
        <v>1.125</v>
      </c>
      <c r="G15">
        <v>1.125</v>
      </c>
      <c r="H15">
        <v>1.125</v>
      </c>
      <c r="I15">
        <v>1.125</v>
      </c>
      <c r="J15">
        <v>1.125</v>
      </c>
      <c r="K15">
        <v>1.125</v>
      </c>
      <c r="L15">
        <v>1.125</v>
      </c>
      <c r="M15">
        <v>1.125</v>
      </c>
      <c r="N15">
        <v>1.125</v>
      </c>
      <c r="O15">
        <v>1.125</v>
      </c>
      <c r="P15">
        <v>1.125</v>
      </c>
      <c r="Q15">
        <v>1.125</v>
      </c>
      <c r="R15">
        <v>1.125</v>
      </c>
      <c r="S15">
        <v>1.125</v>
      </c>
      <c r="T15">
        <v>1.125</v>
      </c>
      <c r="U15">
        <v>1.125</v>
      </c>
      <c r="W15" t="s">
        <v>51</v>
      </c>
      <c r="X15" s="7">
        <f>SUM(G15:U15)</f>
        <v>16.875</v>
      </c>
    </row>
    <row r="16" spans="1:24" x14ac:dyDescent="0.3">
      <c r="A16" t="s">
        <v>51</v>
      </c>
      <c r="E16" t="s">
        <v>45</v>
      </c>
      <c r="F16">
        <f>SUM(F12:F15)</f>
        <v>58.924999999999997</v>
      </c>
      <c r="G16">
        <f t="shared" ref="G16:U16" si="1">SUM(G12:G15)</f>
        <v>58.924999999999997</v>
      </c>
      <c r="H16">
        <f t="shared" si="1"/>
        <v>58.924999999999997</v>
      </c>
      <c r="I16">
        <f t="shared" si="1"/>
        <v>58.924999999999997</v>
      </c>
      <c r="J16">
        <f t="shared" si="1"/>
        <v>58.924999999999997</v>
      </c>
      <c r="K16">
        <f t="shared" si="1"/>
        <v>58.924999999999997</v>
      </c>
      <c r="L16">
        <f t="shared" si="1"/>
        <v>58.924999999999997</v>
      </c>
      <c r="M16">
        <f t="shared" si="1"/>
        <v>58.924999999999997</v>
      </c>
      <c r="N16">
        <f t="shared" si="1"/>
        <v>58.924999999999997</v>
      </c>
      <c r="O16">
        <f t="shared" si="1"/>
        <v>58.924999999999997</v>
      </c>
      <c r="P16">
        <f t="shared" si="1"/>
        <v>58.924999999999997</v>
      </c>
      <c r="Q16">
        <f t="shared" si="1"/>
        <v>58.924999999999997</v>
      </c>
      <c r="R16">
        <f t="shared" si="1"/>
        <v>58.924999999999997</v>
      </c>
      <c r="S16">
        <f t="shared" si="1"/>
        <v>58.924999999999997</v>
      </c>
      <c r="T16">
        <f t="shared" si="1"/>
        <v>58.924999999999997</v>
      </c>
      <c r="U16">
        <f t="shared" si="1"/>
        <v>58.924999999999997</v>
      </c>
      <c r="W16" t="s">
        <v>51</v>
      </c>
      <c r="X16" s="7">
        <f>SUM(F16:U16)</f>
        <v>942.79999999999973</v>
      </c>
    </row>
    <row r="17" spans="1:25" x14ac:dyDescent="0.3">
      <c r="A17" s="9" t="s">
        <v>38</v>
      </c>
    </row>
    <row r="18" spans="1:25" x14ac:dyDescent="0.3">
      <c r="A18" t="s">
        <v>44</v>
      </c>
      <c r="E18" t="s">
        <v>45</v>
      </c>
      <c r="F18">
        <v>35.625</v>
      </c>
      <c r="G18">
        <v>35.625</v>
      </c>
      <c r="H18">
        <v>35.625</v>
      </c>
      <c r="I18">
        <v>35.625</v>
      </c>
      <c r="J18">
        <v>35.625</v>
      </c>
      <c r="K18">
        <v>35.625</v>
      </c>
      <c r="L18">
        <v>35.625</v>
      </c>
      <c r="M18">
        <v>35.625</v>
      </c>
      <c r="N18">
        <v>35.625</v>
      </c>
      <c r="O18">
        <v>35.625</v>
      </c>
      <c r="P18">
        <v>35.625</v>
      </c>
      <c r="Q18">
        <v>35.625</v>
      </c>
      <c r="R18">
        <v>35.625</v>
      </c>
      <c r="S18">
        <v>35.625</v>
      </c>
      <c r="T18">
        <v>35.625</v>
      </c>
      <c r="U18">
        <v>35.625</v>
      </c>
      <c r="W18" t="s">
        <v>51</v>
      </c>
      <c r="X18" s="7">
        <f>SUM(F18:U18)</f>
        <v>570</v>
      </c>
    </row>
    <row r="19" spans="1:25" x14ac:dyDescent="0.3">
      <c r="A19" t="s">
        <v>46</v>
      </c>
      <c r="E19" t="s">
        <v>45</v>
      </c>
      <c r="F19">
        <v>13.125</v>
      </c>
      <c r="G19">
        <v>13.125</v>
      </c>
      <c r="H19">
        <v>13.125</v>
      </c>
      <c r="I19">
        <v>13.125</v>
      </c>
      <c r="J19">
        <v>13.125</v>
      </c>
      <c r="K19">
        <v>13.125</v>
      </c>
      <c r="L19">
        <v>13.125</v>
      </c>
      <c r="M19">
        <v>13.125</v>
      </c>
      <c r="N19">
        <v>13.125</v>
      </c>
      <c r="O19">
        <v>13.125</v>
      </c>
      <c r="P19">
        <v>13.125</v>
      </c>
      <c r="Q19">
        <v>13.125</v>
      </c>
      <c r="R19">
        <v>13.125</v>
      </c>
      <c r="S19">
        <v>13.125</v>
      </c>
      <c r="T19">
        <v>13.125</v>
      </c>
      <c r="U19">
        <v>13.125</v>
      </c>
      <c r="W19" t="s">
        <v>51</v>
      </c>
      <c r="X19" s="7">
        <f>SUM(F19:U19)</f>
        <v>210</v>
      </c>
    </row>
    <row r="20" spans="1:25" x14ac:dyDescent="0.3">
      <c r="A20" t="s">
        <v>52</v>
      </c>
      <c r="E20" t="s">
        <v>45</v>
      </c>
      <c r="F20">
        <v>12.8</v>
      </c>
      <c r="G20">
        <v>12.8</v>
      </c>
      <c r="H20">
        <v>12.8</v>
      </c>
      <c r="I20">
        <v>12.8</v>
      </c>
      <c r="J20">
        <v>12.8</v>
      </c>
      <c r="K20">
        <v>12.8</v>
      </c>
      <c r="L20">
        <v>12.8</v>
      </c>
      <c r="M20">
        <v>12.8</v>
      </c>
      <c r="N20">
        <v>12.8</v>
      </c>
      <c r="O20">
        <v>12.8</v>
      </c>
      <c r="P20">
        <v>12.8</v>
      </c>
      <c r="Q20">
        <v>12.8</v>
      </c>
      <c r="R20">
        <v>12.8</v>
      </c>
      <c r="S20">
        <v>12.8</v>
      </c>
      <c r="T20">
        <v>12.8</v>
      </c>
      <c r="U20">
        <v>12.8</v>
      </c>
      <c r="W20" t="s">
        <v>51</v>
      </c>
      <c r="X20" s="7">
        <f>SUM(F20:U20)</f>
        <v>204.80000000000004</v>
      </c>
    </row>
    <row r="21" spans="1:25" x14ac:dyDescent="0.3">
      <c r="A21" t="s">
        <v>6</v>
      </c>
      <c r="E21" t="s">
        <v>45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W21" t="s">
        <v>51</v>
      </c>
      <c r="X21">
        <f>SUM(F21:U21)</f>
        <v>32</v>
      </c>
    </row>
    <row r="22" spans="1:25" x14ac:dyDescent="0.3">
      <c r="A22" t="s">
        <v>51</v>
      </c>
      <c r="E22" t="s">
        <v>45</v>
      </c>
      <c r="F22">
        <f>SUM(F18:F21)</f>
        <v>63.55</v>
      </c>
      <c r="G22">
        <f t="shared" ref="G22:U22" si="2">SUM(G18:G21)</f>
        <v>63.55</v>
      </c>
      <c r="H22">
        <f t="shared" si="2"/>
        <v>63.55</v>
      </c>
      <c r="I22">
        <f t="shared" si="2"/>
        <v>63.55</v>
      </c>
      <c r="J22">
        <f t="shared" si="2"/>
        <v>63.55</v>
      </c>
      <c r="K22">
        <f t="shared" si="2"/>
        <v>63.55</v>
      </c>
      <c r="L22">
        <f t="shared" si="2"/>
        <v>63.55</v>
      </c>
      <c r="M22">
        <f t="shared" si="2"/>
        <v>63.55</v>
      </c>
      <c r="N22">
        <f t="shared" si="2"/>
        <v>63.55</v>
      </c>
      <c r="O22">
        <f t="shared" si="2"/>
        <v>63.55</v>
      </c>
      <c r="P22">
        <f t="shared" si="2"/>
        <v>63.55</v>
      </c>
      <c r="Q22">
        <f t="shared" si="2"/>
        <v>63.55</v>
      </c>
      <c r="R22">
        <f t="shared" si="2"/>
        <v>63.55</v>
      </c>
      <c r="S22">
        <f t="shared" si="2"/>
        <v>63.55</v>
      </c>
      <c r="T22">
        <f t="shared" si="2"/>
        <v>63.55</v>
      </c>
      <c r="U22">
        <f t="shared" si="2"/>
        <v>63.55</v>
      </c>
      <c r="W22" t="s">
        <v>51</v>
      </c>
      <c r="X22" s="7">
        <f>SUM(F22:U22)</f>
        <v>1016.7999999999997</v>
      </c>
    </row>
    <row r="23" spans="1:25" x14ac:dyDescent="0.3">
      <c r="A23" s="2" t="s">
        <v>37</v>
      </c>
    </row>
    <row r="24" spans="1:25" x14ac:dyDescent="0.3">
      <c r="A24" t="s">
        <v>53</v>
      </c>
      <c r="E24" t="s">
        <v>62</v>
      </c>
      <c r="F24" s="4">
        <f>F26*C31*C30*0.0075</f>
        <v>2531.25</v>
      </c>
      <c r="G24">
        <f>(F26+G26)*C31*C30*0.0075</f>
        <v>5062.5</v>
      </c>
      <c r="H24" s="4">
        <f>SUM(F26:H26)*C31*C30*0.0075</f>
        <v>7593.75</v>
      </c>
      <c r="I24">
        <f>SUM(F26:I26)*C31*C30*0.0075</f>
        <v>10125</v>
      </c>
      <c r="J24" s="4">
        <f>SUM(F26:J26)*C31*C30*0.0075</f>
        <v>12656.25</v>
      </c>
      <c r="K24">
        <f>SUM(F26:K26)*C31*C30*0.0075</f>
        <v>15187.5</v>
      </c>
      <c r="L24" s="4">
        <f>SUM(F26:L26)*C31*C30*0.0075</f>
        <v>17718.75</v>
      </c>
      <c r="M24">
        <f>SUM(F26:M26)*C31*C30*0.0075</f>
        <v>20250</v>
      </c>
      <c r="N24" s="4">
        <f>SUM(F26:N26)*C31*C30*0.0075</f>
        <v>22781.25</v>
      </c>
      <c r="O24">
        <f>SUM(F26:O26)*C31*C30*0.0075</f>
        <v>25312.5</v>
      </c>
      <c r="P24" s="4">
        <f>SUM(F26:P26)*C31*C30*0.0075</f>
        <v>27843.75</v>
      </c>
      <c r="Q24">
        <f>SUM(F26:Q26)*C31*C30*0.0075</f>
        <v>30375</v>
      </c>
      <c r="R24" s="4">
        <f>SUM(F26:R26)*C31*C30*0.0075</f>
        <v>32906.25</v>
      </c>
      <c r="S24">
        <f>SUM(F26:S26)*C31*C30*0.0075</f>
        <v>35437.5</v>
      </c>
      <c r="T24" s="4">
        <f>SUM(F26:T26)*C31*C30*0.0075</f>
        <v>37968.75</v>
      </c>
      <c r="U24">
        <f>SUM(F26:U26)*C31*C30*0.0075</f>
        <v>40500</v>
      </c>
      <c r="W24" t="s">
        <v>64</v>
      </c>
      <c r="X24" s="7">
        <f>SUM(F24:U24)/1000</f>
        <v>344.25</v>
      </c>
      <c r="Y24" t="s">
        <v>7</v>
      </c>
    </row>
    <row r="25" spans="1:25" x14ac:dyDescent="0.3">
      <c r="A25" t="s">
        <v>54</v>
      </c>
      <c r="E25" t="s">
        <v>45</v>
      </c>
      <c r="F25" s="5">
        <f>F24/C28*F27/1000000</f>
        <v>5.0625000000000003E-2</v>
      </c>
      <c r="G25" s="5">
        <f>G24/C28*G27/1000000</f>
        <v>0.10276875000000001</v>
      </c>
      <c r="H25" s="5">
        <f>H24/C28*H27/1000000</f>
        <v>0.15646542187500001</v>
      </c>
      <c r="I25" s="5">
        <f>I24/C28*I27/1000000</f>
        <v>0.21174987093749997</v>
      </c>
      <c r="J25" s="5">
        <f>J24/C28*J27/1000000</f>
        <v>0.26865764875195303</v>
      </c>
      <c r="K25" s="5">
        <f>K24/C28*K27/1000000</f>
        <v>0.3272250161798787</v>
      </c>
      <c r="L25" s="5">
        <f>L24/C28*L27/1000000</f>
        <v>0.38748895665967309</v>
      </c>
      <c r="M25" s="5">
        <f>M24/C28*M27/1000000</f>
        <v>0.44948718972522073</v>
      </c>
      <c r="N25" s="5">
        <f>N24/C28*N27/1000000</f>
        <v>0.5132581847674863</v>
      </c>
      <c r="O25" s="5">
        <f>O24/C28*O27/1000000</f>
        <v>0.57884117504333177</v>
      </c>
      <c r="P25" s="5">
        <f>P24/C28*P27/1000000</f>
        <v>0.64627617193587983</v>
      </c>
      <c r="Q25" s="5">
        <f>Q24/C28*Q27/1000000</f>
        <v>0.71560397947081966</v>
      </c>
      <c r="R25" s="5">
        <f>R24/C28*R27/1000000</f>
        <v>0.78686620909312199</v>
      </c>
      <c r="S25" s="5">
        <f>S24/C28*S27/1000000</f>
        <v>0.86010529470871255</v>
      </c>
      <c r="T25" s="5">
        <f>T24/C28*T27/1000000</f>
        <v>0.93536450799572479</v>
      </c>
      <c r="U25" s="5">
        <f>U24/C28*U27/1000000</f>
        <v>1.0126879739900378</v>
      </c>
      <c r="W25" t="s">
        <v>51</v>
      </c>
      <c r="X25" s="4">
        <f>SUM(F25:U25)</f>
        <v>8.0034713511343405</v>
      </c>
      <c r="Y25" t="s">
        <v>45</v>
      </c>
    </row>
    <row r="26" spans="1:25" x14ac:dyDescent="0.3">
      <c r="A26" t="s">
        <v>55</v>
      </c>
      <c r="E26" t="s">
        <v>12</v>
      </c>
      <c r="F26">
        <v>125</v>
      </c>
      <c r="G26">
        <v>125</v>
      </c>
      <c r="H26">
        <v>125</v>
      </c>
      <c r="I26">
        <v>125</v>
      </c>
      <c r="J26">
        <v>125</v>
      </c>
      <c r="K26">
        <v>125</v>
      </c>
      <c r="L26">
        <v>125</v>
      </c>
      <c r="M26">
        <v>125</v>
      </c>
      <c r="N26">
        <v>125</v>
      </c>
      <c r="O26">
        <v>125</v>
      </c>
      <c r="P26">
        <v>125</v>
      </c>
      <c r="Q26">
        <v>125</v>
      </c>
      <c r="R26">
        <v>125</v>
      </c>
      <c r="S26">
        <v>125</v>
      </c>
      <c r="T26">
        <v>125</v>
      </c>
      <c r="U26">
        <v>125</v>
      </c>
    </row>
    <row r="27" spans="1:25" x14ac:dyDescent="0.3">
      <c r="A27" t="s">
        <v>56</v>
      </c>
      <c r="E27" t="s">
        <v>57</v>
      </c>
      <c r="F27">
        <v>18</v>
      </c>
      <c r="G27">
        <f t="shared" ref="G27:U27" si="3">F27*1.015</f>
        <v>18.27</v>
      </c>
      <c r="H27" s="6">
        <f t="shared" si="3"/>
        <v>18.544049999999999</v>
      </c>
      <c r="I27" s="6">
        <f t="shared" si="3"/>
        <v>18.822210749999996</v>
      </c>
      <c r="J27" s="6">
        <f t="shared" si="3"/>
        <v>19.104543911249994</v>
      </c>
      <c r="K27" s="6">
        <f t="shared" si="3"/>
        <v>19.391112069918741</v>
      </c>
      <c r="L27" s="6">
        <f t="shared" si="3"/>
        <v>19.68197875096752</v>
      </c>
      <c r="M27" s="6">
        <f t="shared" si="3"/>
        <v>19.977208432232032</v>
      </c>
      <c r="N27" s="6">
        <f t="shared" si="3"/>
        <v>20.276866558715511</v>
      </c>
      <c r="O27" s="6">
        <f t="shared" si="3"/>
        <v>20.581019557096241</v>
      </c>
      <c r="P27" s="6">
        <f t="shared" si="3"/>
        <v>20.889734850452683</v>
      </c>
      <c r="Q27" s="6">
        <f t="shared" si="3"/>
        <v>21.203080873209473</v>
      </c>
      <c r="R27" s="6">
        <f t="shared" si="3"/>
        <v>21.521127086307612</v>
      </c>
      <c r="S27" s="6">
        <f t="shared" si="3"/>
        <v>21.843943992602224</v>
      </c>
      <c r="T27" s="6">
        <f t="shared" si="3"/>
        <v>22.171603152491254</v>
      </c>
      <c r="U27" s="6">
        <f t="shared" si="3"/>
        <v>22.504177199778621</v>
      </c>
    </row>
    <row r="28" spans="1:25" x14ac:dyDescent="0.3">
      <c r="A28" t="s">
        <v>58</v>
      </c>
      <c r="C28">
        <v>0.9</v>
      </c>
    </row>
    <row r="29" spans="1:25" x14ac:dyDescent="0.3">
      <c r="A29" t="s">
        <v>59</v>
      </c>
      <c r="F29" s="3">
        <v>1.4999999999999999E-2</v>
      </c>
    </row>
    <row r="30" spans="1:25" x14ac:dyDescent="0.3">
      <c r="A30" t="s">
        <v>60</v>
      </c>
      <c r="C30">
        <v>0.6</v>
      </c>
    </row>
    <row r="31" spans="1:25" x14ac:dyDescent="0.3">
      <c r="A31" t="s">
        <v>61</v>
      </c>
      <c r="C31">
        <v>4500</v>
      </c>
    </row>
    <row r="32" spans="1:25" x14ac:dyDescent="0.3">
      <c r="A32" t="s">
        <v>63</v>
      </c>
      <c r="C32" s="3">
        <v>7.4999999999999997E-3</v>
      </c>
    </row>
    <row r="35" spans="1:25" x14ac:dyDescent="0.3">
      <c r="A35" t="s">
        <v>65</v>
      </c>
      <c r="E35" t="s">
        <v>62</v>
      </c>
      <c r="F35" s="7">
        <f>F37*1000*0.03*4500/1000/C28</f>
        <v>1875</v>
      </c>
      <c r="G35" s="7">
        <f>(G37+F37)*1000*0.03*4500/1000/C28</f>
        <v>3750</v>
      </c>
      <c r="H35">
        <f>SUM(F37:H37)*1000*0.03*4500/1000/C28</f>
        <v>5625</v>
      </c>
      <c r="I35">
        <f>SUM(F37:I37)*1000*0.03*4500/1000/C28</f>
        <v>7500</v>
      </c>
      <c r="J35">
        <f>SUM(F37:J37)*1000*0.03*4500/1000/C28</f>
        <v>9375</v>
      </c>
      <c r="K35">
        <f>SUM(F37:K37)*1000*0.03*4500/1000/C28</f>
        <v>11250</v>
      </c>
      <c r="L35">
        <f>SUM(F37:L37)*1000*0.03*4500/1000/C28</f>
        <v>13125</v>
      </c>
      <c r="M35">
        <f>SUM(F37:M37)*1000*0.03*4500/1000/C28</f>
        <v>15000</v>
      </c>
      <c r="N35">
        <f>SUM(F37:N37)*1000*0.03*4500/1000/C28</f>
        <v>16875</v>
      </c>
      <c r="O35">
        <f>SUM(F37:O37)*1000*0.03*4500/1000/C28</f>
        <v>18750</v>
      </c>
      <c r="P35">
        <f>SUM(F37:P37)*1000*0.03*4500/1000/C28</f>
        <v>20625</v>
      </c>
      <c r="Q35">
        <f>SUM(F37:Q37)*1000*0.03*4500/1000/C28</f>
        <v>22500</v>
      </c>
      <c r="R35">
        <f>SUM(F37:R37)*1000*0.03*4500/1000/C28</f>
        <v>24375</v>
      </c>
      <c r="S35">
        <f>SUM(F37:S37)*1000*0.03*4500/1000/C28</f>
        <v>26250</v>
      </c>
      <c r="T35">
        <f>SUM(F37:T37)*1000*0.03*4500/1000/C28</f>
        <v>28125</v>
      </c>
      <c r="U35">
        <f>SUM(F37:U37)*1000*0.03*4500/1000/C28</f>
        <v>30000</v>
      </c>
      <c r="W35" t="s">
        <v>51</v>
      </c>
      <c r="X35" s="7">
        <f>SUM(F35:U35)/1000</f>
        <v>255</v>
      </c>
      <c r="Y35" t="s">
        <v>7</v>
      </c>
    </row>
    <row r="36" spans="1:25" x14ac:dyDescent="0.3">
      <c r="A36" t="s">
        <v>54</v>
      </c>
      <c r="E36" t="s">
        <v>45</v>
      </c>
      <c r="F36">
        <f t="shared" ref="F36:U36" si="4">F35*F27/1000000</f>
        <v>3.3750000000000002E-2</v>
      </c>
      <c r="G36" s="8">
        <f t="shared" si="4"/>
        <v>6.8512500000000004E-2</v>
      </c>
      <c r="H36">
        <f t="shared" si="4"/>
        <v>0.10431028124999998</v>
      </c>
      <c r="I36">
        <f t="shared" si="4"/>
        <v>0.14116658062499998</v>
      </c>
      <c r="J36">
        <f t="shared" si="4"/>
        <v>0.17910509916796871</v>
      </c>
      <c r="K36">
        <f t="shared" si="4"/>
        <v>0.21815001078658583</v>
      </c>
      <c r="L36">
        <f t="shared" si="4"/>
        <v>0.25832597110644873</v>
      </c>
      <c r="M36">
        <f t="shared" si="4"/>
        <v>0.2996581264834805</v>
      </c>
      <c r="N36">
        <f t="shared" si="4"/>
        <v>0.34217212317832424</v>
      </c>
      <c r="O36">
        <f t="shared" si="4"/>
        <v>0.38589411669555451</v>
      </c>
      <c r="P36">
        <f t="shared" si="4"/>
        <v>0.43085078129058657</v>
      </c>
      <c r="Q36">
        <f t="shared" si="4"/>
        <v>0.47706931964721316</v>
      </c>
      <c r="R36">
        <f t="shared" si="4"/>
        <v>0.524577472728748</v>
      </c>
      <c r="S36">
        <f t="shared" si="4"/>
        <v>0.57340352980580833</v>
      </c>
      <c r="T36">
        <f t="shared" si="4"/>
        <v>0.62357633866381657</v>
      </c>
      <c r="U36">
        <f t="shared" si="4"/>
        <v>0.67512531599335857</v>
      </c>
      <c r="W36" t="s">
        <v>51</v>
      </c>
      <c r="X36" s="4">
        <f>SUM(F36:U36)</f>
        <v>5.3356475674228943</v>
      </c>
      <c r="Y36" t="s">
        <v>45</v>
      </c>
    </row>
    <row r="37" spans="1:25" x14ac:dyDescent="0.3">
      <c r="A37" t="s">
        <v>66</v>
      </c>
      <c r="E37" t="s">
        <v>9</v>
      </c>
      <c r="F37">
        <v>12.5</v>
      </c>
      <c r="G37">
        <v>12.5</v>
      </c>
      <c r="H37">
        <v>12.5</v>
      </c>
      <c r="I37">
        <v>12.5</v>
      </c>
      <c r="J37">
        <v>12.5</v>
      </c>
      <c r="K37">
        <v>12.5</v>
      </c>
      <c r="L37">
        <v>12.5</v>
      </c>
      <c r="M37">
        <v>12.5</v>
      </c>
      <c r="N37">
        <v>12.5</v>
      </c>
      <c r="O37">
        <v>12.5</v>
      </c>
      <c r="P37">
        <v>12.5</v>
      </c>
      <c r="Q37">
        <v>12.5</v>
      </c>
      <c r="R37">
        <v>12.5</v>
      </c>
      <c r="S37">
        <v>12.5</v>
      </c>
      <c r="T37">
        <v>12.5</v>
      </c>
      <c r="U37">
        <v>12.5</v>
      </c>
    </row>
    <row r="38" spans="1:25" x14ac:dyDescent="0.3">
      <c r="A38" t="s">
        <v>67</v>
      </c>
      <c r="C38" t="s">
        <v>68</v>
      </c>
    </row>
    <row r="40" spans="1:25" x14ac:dyDescent="0.3">
      <c r="A40" t="s">
        <v>52</v>
      </c>
    </row>
    <row r="41" spans="1:25" x14ac:dyDescent="0.3">
      <c r="A41" t="s">
        <v>69</v>
      </c>
      <c r="E41" t="s">
        <v>7</v>
      </c>
      <c r="F41">
        <v>8.3000000000000007</v>
      </c>
      <c r="G41">
        <v>8.3000000000000007</v>
      </c>
      <c r="H41">
        <v>8.3000000000000007</v>
      </c>
      <c r="I41">
        <v>8.3000000000000007</v>
      </c>
      <c r="J41">
        <v>8.3000000000000007</v>
      </c>
      <c r="K41">
        <v>8.3000000000000007</v>
      </c>
      <c r="L41">
        <v>8.3000000000000007</v>
      </c>
      <c r="M41">
        <v>8.3000000000000007</v>
      </c>
      <c r="N41">
        <v>8.3000000000000007</v>
      </c>
      <c r="O41">
        <v>8.3000000000000007</v>
      </c>
      <c r="P41">
        <v>8.3000000000000007</v>
      </c>
      <c r="Q41">
        <v>8.3000000000000007</v>
      </c>
      <c r="R41">
        <v>8.3000000000000007</v>
      </c>
      <c r="S41">
        <v>8.3000000000000007</v>
      </c>
      <c r="T41">
        <v>8.3000000000000007</v>
      </c>
      <c r="U41">
        <v>8.3000000000000007</v>
      </c>
    </row>
    <row r="42" spans="1:25" x14ac:dyDescent="0.3">
      <c r="A42" t="s">
        <v>70</v>
      </c>
      <c r="E42" t="s">
        <v>7</v>
      </c>
      <c r="F42">
        <v>22.5</v>
      </c>
      <c r="G42">
        <v>22.5</v>
      </c>
      <c r="H42">
        <v>22.5</v>
      </c>
      <c r="I42">
        <v>22.5</v>
      </c>
      <c r="J42">
        <v>22.5</v>
      </c>
      <c r="K42">
        <v>22.5</v>
      </c>
      <c r="L42">
        <v>22.5</v>
      </c>
      <c r="M42">
        <v>22.5</v>
      </c>
      <c r="N42">
        <v>22.5</v>
      </c>
      <c r="O42">
        <v>22.5</v>
      </c>
      <c r="P42">
        <v>22.5</v>
      </c>
      <c r="Q42">
        <v>22.5</v>
      </c>
      <c r="R42">
        <v>22.5</v>
      </c>
      <c r="S42">
        <v>22.5</v>
      </c>
      <c r="T42">
        <v>22.5</v>
      </c>
      <c r="U42">
        <v>22.5</v>
      </c>
    </row>
    <row r="43" spans="1:25" x14ac:dyDescent="0.3">
      <c r="A43" t="s">
        <v>71</v>
      </c>
      <c r="C43" t="s">
        <v>16</v>
      </c>
      <c r="F43">
        <v>37.590000000000003</v>
      </c>
      <c r="G43" s="6">
        <f t="shared" ref="G43:U43" si="5">F43*1.015</f>
        <v>38.153849999999998</v>
      </c>
      <c r="H43" s="6">
        <f t="shared" si="5"/>
        <v>38.726157749999992</v>
      </c>
      <c r="I43" s="6">
        <f t="shared" si="5"/>
        <v>39.307050116249989</v>
      </c>
      <c r="J43" s="6">
        <f t="shared" si="5"/>
        <v>39.896655867993736</v>
      </c>
      <c r="K43" s="6">
        <f t="shared" si="5"/>
        <v>40.495105706013639</v>
      </c>
      <c r="L43" s="6">
        <f t="shared" si="5"/>
        <v>41.102532291603843</v>
      </c>
      <c r="M43" s="6">
        <f t="shared" si="5"/>
        <v>41.719070275977899</v>
      </c>
      <c r="N43" s="6">
        <f t="shared" si="5"/>
        <v>42.344856330117565</v>
      </c>
      <c r="O43" s="6">
        <f t="shared" si="5"/>
        <v>42.980029175069326</v>
      </c>
      <c r="P43" s="6">
        <f t="shared" si="5"/>
        <v>43.624729612695361</v>
      </c>
      <c r="Q43" s="6">
        <f t="shared" si="5"/>
        <v>44.279100556885787</v>
      </c>
      <c r="R43" s="6">
        <f t="shared" si="5"/>
        <v>44.943287065239069</v>
      </c>
      <c r="S43" s="6">
        <f t="shared" si="5"/>
        <v>45.61743637121765</v>
      </c>
      <c r="T43" s="6">
        <f t="shared" si="5"/>
        <v>46.301697916785912</v>
      </c>
      <c r="U43" s="6">
        <f t="shared" si="5"/>
        <v>46.996223385537697</v>
      </c>
    </row>
    <row r="44" spans="1:25" x14ac:dyDescent="0.3">
      <c r="A44" t="s">
        <v>72</v>
      </c>
      <c r="C44" t="s">
        <v>16</v>
      </c>
      <c r="F44">
        <v>36.229999999999997</v>
      </c>
      <c r="G44" s="6">
        <f t="shared" ref="G44:U44" si="6">F44*1.015</f>
        <v>36.77344999999999</v>
      </c>
      <c r="H44" s="6">
        <f t="shared" si="6"/>
        <v>37.325051749999986</v>
      </c>
      <c r="I44" s="6">
        <f t="shared" si="6"/>
        <v>37.884927526249982</v>
      </c>
      <c r="J44" s="6">
        <f t="shared" si="6"/>
        <v>38.453201439143726</v>
      </c>
      <c r="K44" s="6">
        <f t="shared" si="6"/>
        <v>39.029999460730878</v>
      </c>
      <c r="L44" s="6">
        <f t="shared" si="6"/>
        <v>39.61544945264184</v>
      </c>
      <c r="M44" s="6">
        <f t="shared" si="6"/>
        <v>40.209681194431461</v>
      </c>
      <c r="N44" s="6">
        <f t="shared" si="6"/>
        <v>40.812826412347931</v>
      </c>
      <c r="O44" s="6">
        <f t="shared" si="6"/>
        <v>41.425018808533146</v>
      </c>
      <c r="P44" s="6">
        <f t="shared" si="6"/>
        <v>42.046394090661138</v>
      </c>
      <c r="Q44" s="6">
        <f t="shared" si="6"/>
        <v>42.677090002021053</v>
      </c>
      <c r="R44" s="6">
        <f t="shared" si="6"/>
        <v>43.317246352051363</v>
      </c>
      <c r="S44" s="6">
        <f t="shared" si="6"/>
        <v>43.96700504733213</v>
      </c>
      <c r="T44" s="6">
        <f t="shared" si="6"/>
        <v>44.62651012304211</v>
      </c>
      <c r="U44" s="6">
        <f t="shared" si="6"/>
        <v>45.295907774887738</v>
      </c>
    </row>
    <row r="45" spans="1:25" x14ac:dyDescent="0.3">
      <c r="A45" t="s">
        <v>73</v>
      </c>
    </row>
    <row r="46" spans="1:25" x14ac:dyDescent="0.3">
      <c r="A46" t="s">
        <v>74</v>
      </c>
      <c r="E46" t="s">
        <v>45</v>
      </c>
      <c r="F46">
        <f>F42*(F43-F27)*1000/1000000</f>
        <v>0.44077500000000014</v>
      </c>
      <c r="G46">
        <f>SUM(F42:G42)*(G43-G27)/1000</f>
        <v>0.89477324999999996</v>
      </c>
      <c r="H46">
        <f>SUM(F42:H42)*(H43-H27)/1000</f>
        <v>1.3622922731249996</v>
      </c>
      <c r="I46">
        <f>SUM(F42:I42)*(I43-I27)/1000</f>
        <v>1.8436355429624993</v>
      </c>
      <c r="J46">
        <f>SUM(F42:J42)*(J43-J27)/1000</f>
        <v>2.3391125951336713</v>
      </c>
      <c r="K46">
        <f>SUM(F42:K42)*(K43-K27)/1000</f>
        <v>2.8490391408728115</v>
      </c>
      <c r="L46">
        <f>SUM(F42:L42)*(L43-L27)/1000</f>
        <v>3.3737371826502209</v>
      </c>
      <c r="M46">
        <f>SUM(F42:M42)*(M43-M27)/1000</f>
        <v>3.9135351318742559</v>
      </c>
      <c r="N46">
        <f>SUM(F42:N42)*(N43-N27)/1000</f>
        <v>4.4687679287089157</v>
      </c>
      <c r="O46">
        <f>SUM(F42:O42)*(O43-O27)/1000</f>
        <v>5.0397771640439437</v>
      </c>
      <c r="P46">
        <f>SUM(F42:P42)*(P43-P27)/1000</f>
        <v>5.6269112036550633</v>
      </c>
      <c r="Q46">
        <f>SUM(F42:Q42)*(Q43-Q27)/1000</f>
        <v>6.2305253145926045</v>
      </c>
      <c r="R46">
        <f>SUM(F42:R42)*(R43-R27)/1000</f>
        <v>6.8509817938374518</v>
      </c>
      <c r="S46">
        <f>SUM(F42:S42)*(S43-S27)/1000</f>
        <v>7.4886500992638592</v>
      </c>
      <c r="T46">
        <f>SUM(F42:T42)*(T43-T27)/1000</f>
        <v>8.1439069829494457</v>
      </c>
      <c r="U46">
        <f>SUM(F42:U42)*(U43-U27)/1000</f>
        <v>8.8171366268732676</v>
      </c>
    </row>
    <row r="47" spans="1:25" x14ac:dyDescent="0.3">
      <c r="A47" t="s">
        <v>75</v>
      </c>
      <c r="E47" t="s">
        <v>45</v>
      </c>
      <c r="F47">
        <f>F41*1000*(F44-F27)/1000000</f>
        <v>0.15130899999999997</v>
      </c>
      <c r="G47">
        <f>SUM(F41:G41)*(G44-G27)/1000</f>
        <v>0.30715726999999987</v>
      </c>
      <c r="H47">
        <f>SUM(F41:H41)*(I44-I27)/1000</f>
        <v>0.47466164772862462</v>
      </c>
      <c r="I47">
        <f>SUM(F41:I41)*(I44-I27)/1000</f>
        <v>0.6328821969714995</v>
      </c>
      <c r="J47">
        <f>SUM(F41:J41)*(J44-J27)/1000</f>
        <v>0.80296928740758988</v>
      </c>
      <c r="K47">
        <f>SUM(F41:K41)*(K44-K27)/1000</f>
        <v>0.9780165920624444</v>
      </c>
      <c r="L47">
        <f>SUM(F41:L41)*(L44-L27)/1000</f>
        <v>1.1581346477672778</v>
      </c>
      <c r="M47">
        <f>SUM(F41:M41)*(M44-M27)/1000</f>
        <v>1.3434361914100419</v>
      </c>
      <c r="N47">
        <f>SUM(F41:N41)*(N44-N27)/1000</f>
        <v>1.5340362010663415</v>
      </c>
      <c r="O47">
        <f>SUM(F41:O41)*(O44-O27)/1000</f>
        <v>1.7300519378692629</v>
      </c>
      <c r="P47">
        <f>SUM(F41:P41)*(P44-P27)/1000</f>
        <v>1.9316029886310315</v>
      </c>
      <c r="Q47">
        <f>SUM(F41:Q41)*(Q44-Q27)/1000</f>
        <v>2.138811309229633</v>
      </c>
      <c r="R47">
        <f>SUM(F41:R41)*(R44-R27)/1000</f>
        <v>2.3518012687737504</v>
      </c>
      <c r="S47">
        <f>SUM(F41:S41)*(S44-S27)/1000</f>
        <v>2.5706996945596141</v>
      </c>
      <c r="T47">
        <f>SUM(F41:T41)*(T44-T27)/1000</f>
        <v>2.7956359178335806</v>
      </c>
      <c r="U47">
        <f>SUM(F41:U41)*(U44-U27)/1000</f>
        <v>3.0267418203744905</v>
      </c>
    </row>
    <row r="48" spans="1:25" x14ac:dyDescent="0.3">
      <c r="A48" t="s">
        <v>76</v>
      </c>
      <c r="E48" t="s">
        <v>45</v>
      </c>
      <c r="F48">
        <f t="shared" ref="F48:U48" si="7">F46+F47</f>
        <v>0.59208400000000005</v>
      </c>
      <c r="G48">
        <f t="shared" si="7"/>
        <v>1.2019305199999999</v>
      </c>
      <c r="H48">
        <f t="shared" si="7"/>
        <v>1.8369539208536243</v>
      </c>
      <c r="I48">
        <f t="shared" si="7"/>
        <v>2.4765177399339988</v>
      </c>
      <c r="J48">
        <f t="shared" si="7"/>
        <v>3.1420818825412611</v>
      </c>
      <c r="K48">
        <f t="shared" si="7"/>
        <v>3.8270557329352561</v>
      </c>
      <c r="L48">
        <f t="shared" si="7"/>
        <v>4.531871830417499</v>
      </c>
      <c r="M48">
        <f t="shared" si="7"/>
        <v>5.2569713232842981</v>
      </c>
      <c r="N48">
        <f t="shared" si="7"/>
        <v>6.0028041297752575</v>
      </c>
      <c r="O48">
        <f t="shared" si="7"/>
        <v>6.7698291019132064</v>
      </c>
      <c r="P48">
        <f t="shared" si="7"/>
        <v>7.5585141922860952</v>
      </c>
      <c r="Q48">
        <f t="shared" si="7"/>
        <v>8.3693366238222371</v>
      </c>
      <c r="R48">
        <f t="shared" si="7"/>
        <v>9.2027830626112017</v>
      </c>
      <c r="S48">
        <f t="shared" si="7"/>
        <v>10.059349793823474</v>
      </c>
      <c r="T48">
        <f t="shared" si="7"/>
        <v>10.939542900783026</v>
      </c>
      <c r="U48">
        <f t="shared" si="7"/>
        <v>11.843878447247757</v>
      </c>
      <c r="W48" t="s">
        <v>51</v>
      </c>
      <c r="X48" s="4">
        <f>SUM(F48:U48)</f>
        <v>93.611505202228187</v>
      </c>
      <c r="Y48" t="s">
        <v>45</v>
      </c>
    </row>
    <row r="50" spans="1:25" x14ac:dyDescent="0.3">
      <c r="A50" t="s">
        <v>6</v>
      </c>
      <c r="E50" t="s">
        <v>7</v>
      </c>
      <c r="F50">
        <f>F51+F52</f>
        <v>4.37</v>
      </c>
      <c r="G50">
        <f t="shared" ref="G50:U50" si="8">G51+G52</f>
        <v>4.37</v>
      </c>
      <c r="H50">
        <f t="shared" si="8"/>
        <v>4.37</v>
      </c>
      <c r="I50">
        <f t="shared" si="8"/>
        <v>4.37</v>
      </c>
      <c r="J50">
        <f t="shared" si="8"/>
        <v>4.37</v>
      </c>
      <c r="K50">
        <f t="shared" si="8"/>
        <v>4.37</v>
      </c>
      <c r="L50">
        <f t="shared" si="8"/>
        <v>4.37</v>
      </c>
      <c r="M50">
        <f t="shared" si="8"/>
        <v>4.37</v>
      </c>
      <c r="N50">
        <f t="shared" si="8"/>
        <v>4.37</v>
      </c>
      <c r="O50">
        <f t="shared" si="8"/>
        <v>4.37</v>
      </c>
      <c r="P50">
        <f t="shared" si="8"/>
        <v>4.37</v>
      </c>
      <c r="Q50">
        <f t="shared" si="8"/>
        <v>4.37</v>
      </c>
      <c r="R50">
        <f t="shared" si="8"/>
        <v>4.37</v>
      </c>
      <c r="S50">
        <f t="shared" si="8"/>
        <v>4.37</v>
      </c>
      <c r="T50">
        <f t="shared" si="8"/>
        <v>4.37</v>
      </c>
      <c r="U50">
        <f t="shared" si="8"/>
        <v>4.45</v>
      </c>
    </row>
    <row r="51" spans="1:25" x14ac:dyDescent="0.3">
      <c r="A51" t="s">
        <v>79</v>
      </c>
      <c r="E51" t="s">
        <v>7</v>
      </c>
      <c r="F51">
        <v>2.5</v>
      </c>
      <c r="G51">
        <v>2.5</v>
      </c>
      <c r="H51">
        <v>2.5</v>
      </c>
      <c r="I51">
        <v>2.5</v>
      </c>
      <c r="J51">
        <v>2.5</v>
      </c>
      <c r="K51">
        <v>2.5</v>
      </c>
      <c r="L51">
        <v>2.5</v>
      </c>
      <c r="M51">
        <v>2.5</v>
      </c>
      <c r="N51">
        <v>2.5</v>
      </c>
      <c r="O51">
        <v>2.5</v>
      </c>
      <c r="P51">
        <v>2.5</v>
      </c>
      <c r="Q51">
        <v>2.5</v>
      </c>
      <c r="R51">
        <v>2.5</v>
      </c>
      <c r="S51">
        <v>2.5</v>
      </c>
      <c r="T51">
        <v>2.5</v>
      </c>
      <c r="U51">
        <v>2.5</v>
      </c>
    </row>
    <row r="52" spans="1:25" x14ac:dyDescent="0.3">
      <c r="A52" t="s">
        <v>80</v>
      </c>
      <c r="E52" t="s">
        <v>7</v>
      </c>
      <c r="F52">
        <v>1.87</v>
      </c>
      <c r="G52">
        <v>1.87</v>
      </c>
      <c r="H52">
        <v>1.87</v>
      </c>
      <c r="I52">
        <v>1.87</v>
      </c>
      <c r="J52">
        <v>1.87</v>
      </c>
      <c r="K52">
        <v>1.87</v>
      </c>
      <c r="L52">
        <v>1.87</v>
      </c>
      <c r="M52">
        <v>1.87</v>
      </c>
      <c r="N52">
        <v>1.87</v>
      </c>
      <c r="O52">
        <v>1.87</v>
      </c>
      <c r="P52">
        <v>1.87</v>
      </c>
      <c r="Q52">
        <v>1.87</v>
      </c>
      <c r="R52">
        <v>1.87</v>
      </c>
      <c r="S52">
        <v>1.87</v>
      </c>
      <c r="T52">
        <v>1.87</v>
      </c>
      <c r="U52">
        <v>1.95</v>
      </c>
    </row>
    <row r="53" spans="1:25" x14ac:dyDescent="0.3">
      <c r="A53" t="s">
        <v>81</v>
      </c>
      <c r="E53" t="s">
        <v>7</v>
      </c>
      <c r="F53">
        <f>(F51+F52)/0.85*0.15</f>
        <v>0.77117647058823535</v>
      </c>
      <c r="G53">
        <f>SUM(F50:G50)/0.85*0.15</f>
        <v>1.5423529411764707</v>
      </c>
      <c r="H53">
        <f>SUM(F50:H50)/0.85*0.15</f>
        <v>2.3135294117647058</v>
      </c>
      <c r="I53">
        <f>SUM(F50:I50)/0.85*0.15</f>
        <v>3.0847058823529414</v>
      </c>
      <c r="J53">
        <f>SUM(F50:J50)/0.85*0.15</f>
        <v>3.8558823529411765</v>
      </c>
      <c r="K53">
        <f>SUM(F50:K50)/0.85*0.15</f>
        <v>4.6270588235294126</v>
      </c>
      <c r="L53">
        <f>SUM(F50:L50)/0.85*0.15</f>
        <v>5.3982352941176472</v>
      </c>
      <c r="M53">
        <f>SUM(F50:M50)/0.85*0.15</f>
        <v>6.1694117647058828</v>
      </c>
      <c r="N53">
        <f>SUM(F50:N50)/0.85*0.15</f>
        <v>6.9405882352941175</v>
      </c>
      <c r="O53">
        <f>SUM(F50:O50)/0.85*0.15</f>
        <v>7.7117647058823522</v>
      </c>
      <c r="P53">
        <f>SUM(F50:P50)/0.85*0.15</f>
        <v>8.4829411764705878</v>
      </c>
      <c r="Q53">
        <f>SUM(F50:Q50)/0.85*0.15</f>
        <v>9.2541176470588216</v>
      </c>
      <c r="R53">
        <f>SUM(F50:R50)/0.85*0.15</f>
        <v>10.025294117647057</v>
      </c>
      <c r="S53">
        <f>SUM(F50:S50)/0.85*0.15</f>
        <v>10.796470588235291</v>
      </c>
      <c r="T53">
        <f>SUM(F50:T50)/0.85*0.15</f>
        <v>11.567647058823527</v>
      </c>
      <c r="U53">
        <f>SUM(F50:U50)/0.85*0.15</f>
        <v>12.352941176470587</v>
      </c>
      <c r="W53" t="s">
        <v>51</v>
      </c>
      <c r="X53" s="4">
        <f>SUM(F53:U53)</f>
        <v>104.89411764705881</v>
      </c>
      <c r="Y53" t="s">
        <v>7</v>
      </c>
    </row>
    <row r="54" spans="1:25" x14ac:dyDescent="0.3">
      <c r="A54" t="s">
        <v>82</v>
      </c>
    </row>
    <row r="55" spans="1:25" x14ac:dyDescent="0.3">
      <c r="A55" t="s">
        <v>83</v>
      </c>
      <c r="E55" t="s">
        <v>45</v>
      </c>
      <c r="F55">
        <f>F53/C28*F43/1000</f>
        <v>3.2209470588235298E-2</v>
      </c>
      <c r="G55">
        <f>G53/C28*G43/1000</f>
        <v>6.5385225294117652E-2</v>
      </c>
      <c r="H55">
        <f>H53/C28*H43/1000</f>
        <v>9.9549005510294081E-2</v>
      </c>
      <c r="I55">
        <f>I53/C28*I43/1000</f>
        <v>0.13472298745726469</v>
      </c>
      <c r="J55">
        <f>J53/C28*J43/1000</f>
        <v>0.17092979033640451</v>
      </c>
      <c r="K55">
        <f>K53/C28*K43/1000</f>
        <v>0.20819248462974074</v>
      </c>
      <c r="L55">
        <f>L53/C28*L43/1000</f>
        <v>0.24653460054905127</v>
      </c>
      <c r="M55">
        <f>M53/C28*M43/1000</f>
        <v>0.28598013663689947</v>
      </c>
      <c r="N55">
        <f>N53/C28*N43/1000</f>
        <v>0.32655356852225953</v>
      </c>
      <c r="O55">
        <f>O53/C28*O43/1000</f>
        <v>0.3682798578334372</v>
      </c>
      <c r="P55">
        <f>P53/C28*P43/1000</f>
        <v>0.41118446127103248</v>
      </c>
      <c r="Q55">
        <f>Q53/C28*Q43/1000</f>
        <v>0.45529333984374315</v>
      </c>
      <c r="R55">
        <f>R53/C28*R43/1000</f>
        <v>0.50063296826984915</v>
      </c>
      <c r="S55">
        <f>S53/C28*S43/1000</f>
        <v>0.54723034454727348</v>
      </c>
      <c r="T55">
        <f>T53/C28*T43/1000</f>
        <v>0.59511299969515996</v>
      </c>
      <c r="U55">
        <f>U53/C28*U43/1000</f>
        <v>0.64504620333090945</v>
      </c>
      <c r="W55" t="s">
        <v>51</v>
      </c>
      <c r="X55" s="4">
        <f>SUM(F55:U55)</f>
        <v>5.0928374443156716</v>
      </c>
      <c r="Y55" t="s">
        <v>45</v>
      </c>
    </row>
    <row r="57" spans="1:25" x14ac:dyDescent="0.3">
      <c r="A57" s="16" t="s">
        <v>4</v>
      </c>
    </row>
    <row r="58" spans="1:25" x14ac:dyDescent="0.3">
      <c r="A58" t="s">
        <v>53</v>
      </c>
      <c r="E58" t="s">
        <v>62</v>
      </c>
      <c r="F58" s="4">
        <f>F60*C65*C64*0.0075</f>
        <v>2531.25</v>
      </c>
      <c r="G58">
        <f>(F60+G60)*C65*C64*0.0075</f>
        <v>5062.5</v>
      </c>
      <c r="H58" s="4">
        <f>SUM(F60:H60)*C65*C64*0.0075</f>
        <v>7593.75</v>
      </c>
      <c r="I58">
        <f>SUM(F60:I60)*C65*C64*0.0075</f>
        <v>10125</v>
      </c>
      <c r="J58" s="4">
        <f>SUM(F60:J60)*C65*C64*0.0075</f>
        <v>12656.25</v>
      </c>
      <c r="K58">
        <f>SUM(F60:K60)*C65*C64*0.0075</f>
        <v>15187.5</v>
      </c>
      <c r="L58" s="4">
        <f>SUM(F60:L60)*C65*C64*0.0075</f>
        <v>17718.75</v>
      </c>
      <c r="M58">
        <f>SUM(F60:M60)*C65*C64*0.0075</f>
        <v>20250</v>
      </c>
      <c r="N58" s="4">
        <f>SUM(F60:N60)*C65*C64*0.0075</f>
        <v>22781.25</v>
      </c>
      <c r="O58">
        <f>SUM(F60:O60)*C65*C64*0.0075</f>
        <v>25312.5</v>
      </c>
      <c r="P58" s="4">
        <f>SUM(F60:P60)*C65*C64*0.0075</f>
        <v>27843.75</v>
      </c>
      <c r="Q58">
        <f>SUM(F60:Q60)*C65*C64*0.0075</f>
        <v>30375</v>
      </c>
      <c r="R58" s="4">
        <f>SUM(F60:R60)*C65*C64*0.0075</f>
        <v>32906.25</v>
      </c>
      <c r="S58">
        <f>SUM(F60:S60)*C65*C64*0.0075</f>
        <v>35437.5</v>
      </c>
      <c r="T58" s="4">
        <f>SUM(F60:T60)*C65*C64*0.0075</f>
        <v>37968.75</v>
      </c>
      <c r="U58">
        <f>SUM(F60:U60)*C65*C64*0.0075</f>
        <v>40500</v>
      </c>
      <c r="W58" t="s">
        <v>51</v>
      </c>
      <c r="X58">
        <v>344</v>
      </c>
      <c r="Y58" t="s">
        <v>7</v>
      </c>
    </row>
    <row r="59" spans="1:25" x14ac:dyDescent="0.3">
      <c r="A59" t="s">
        <v>54</v>
      </c>
      <c r="E59" t="s">
        <v>45</v>
      </c>
      <c r="F59" s="5">
        <f>F58/C62*F61/1000000</f>
        <v>5.0625000000000003E-2</v>
      </c>
      <c r="G59" s="5">
        <f>G58/C62*G61/1000000</f>
        <v>0.10276875000000001</v>
      </c>
      <c r="H59" s="5">
        <f>H58/C62*H61/1000000</f>
        <v>0.15646542187500001</v>
      </c>
      <c r="I59" s="5">
        <f>I58/C62*I61/1000000</f>
        <v>0.21174987093749997</v>
      </c>
      <c r="J59" s="5">
        <f>J58/C62*J61/1000000</f>
        <v>0.26865764875195303</v>
      </c>
      <c r="K59" s="5">
        <f>K58/C62*K61/1000000</f>
        <v>0.3272250161798787</v>
      </c>
      <c r="L59" s="5">
        <f>L58/C62*L61/1000000</f>
        <v>0.38748895665967309</v>
      </c>
      <c r="M59" s="5">
        <f>M58/C62*M61/1000000</f>
        <v>0.44948718972522073</v>
      </c>
      <c r="N59" s="5">
        <f>N58/C62*N61/1000000</f>
        <v>0.5132581847674863</v>
      </c>
      <c r="O59" s="5">
        <f>O58/C62*O61/1000000</f>
        <v>0.57884117504333177</v>
      </c>
      <c r="P59" s="5">
        <f>P58/C62*P61/1000000</f>
        <v>0.64627617193587983</v>
      </c>
      <c r="Q59" s="5">
        <f>Q58/C62*Q61/1000000</f>
        <v>0.71560397947081966</v>
      </c>
      <c r="R59" s="5">
        <f>R58/C62*R61/1000000</f>
        <v>0.78686620909312199</v>
      </c>
      <c r="S59" s="5">
        <f>S58/C62*S61/1000000</f>
        <v>0.86010529470871255</v>
      </c>
      <c r="T59" s="5">
        <f>T58/C62*T61/1000000</f>
        <v>0.93536450799572479</v>
      </c>
      <c r="U59" s="5">
        <f>U58/C62*U61/1000000</f>
        <v>1.0126879739900378</v>
      </c>
      <c r="W59" t="s">
        <v>51</v>
      </c>
      <c r="X59">
        <v>8</v>
      </c>
      <c r="Y59" t="s">
        <v>45</v>
      </c>
    </row>
    <row r="60" spans="1:25" x14ac:dyDescent="0.3">
      <c r="A60" t="s">
        <v>55</v>
      </c>
      <c r="E60" t="s">
        <v>12</v>
      </c>
      <c r="F60">
        <v>125</v>
      </c>
      <c r="G60">
        <v>125</v>
      </c>
      <c r="H60">
        <v>125</v>
      </c>
      <c r="I60">
        <v>125</v>
      </c>
      <c r="J60">
        <v>125</v>
      </c>
      <c r="K60">
        <v>125</v>
      </c>
      <c r="L60">
        <v>125</v>
      </c>
      <c r="M60">
        <v>125</v>
      </c>
      <c r="N60">
        <v>125</v>
      </c>
      <c r="O60">
        <v>125</v>
      </c>
      <c r="P60">
        <v>125</v>
      </c>
      <c r="Q60">
        <v>125</v>
      </c>
      <c r="R60">
        <v>125</v>
      </c>
      <c r="S60">
        <v>125</v>
      </c>
      <c r="T60">
        <v>125</v>
      </c>
      <c r="U60">
        <v>125</v>
      </c>
    </row>
    <row r="61" spans="1:25" x14ac:dyDescent="0.3">
      <c r="A61" t="s">
        <v>56</v>
      </c>
      <c r="E61" t="s">
        <v>57</v>
      </c>
      <c r="F61">
        <v>18</v>
      </c>
      <c r="G61">
        <f t="shared" ref="G61:U61" si="9">F61*1.015</f>
        <v>18.27</v>
      </c>
      <c r="H61" s="6">
        <f t="shared" si="9"/>
        <v>18.544049999999999</v>
      </c>
      <c r="I61" s="6">
        <f t="shared" si="9"/>
        <v>18.822210749999996</v>
      </c>
      <c r="J61" s="6">
        <f t="shared" si="9"/>
        <v>19.104543911249994</v>
      </c>
      <c r="K61" s="6">
        <f t="shared" si="9"/>
        <v>19.391112069918741</v>
      </c>
      <c r="L61" s="6">
        <f t="shared" si="9"/>
        <v>19.68197875096752</v>
      </c>
      <c r="M61" s="6">
        <f t="shared" si="9"/>
        <v>19.977208432232032</v>
      </c>
      <c r="N61" s="6">
        <f t="shared" si="9"/>
        <v>20.276866558715511</v>
      </c>
      <c r="O61" s="6">
        <f t="shared" si="9"/>
        <v>20.581019557096241</v>
      </c>
      <c r="P61" s="6">
        <f t="shared" si="9"/>
        <v>20.889734850452683</v>
      </c>
      <c r="Q61" s="6">
        <f t="shared" si="9"/>
        <v>21.203080873209473</v>
      </c>
      <c r="R61" s="6">
        <f t="shared" si="9"/>
        <v>21.521127086307612</v>
      </c>
      <c r="S61" s="6">
        <f t="shared" si="9"/>
        <v>21.843943992602224</v>
      </c>
      <c r="T61" s="6">
        <f t="shared" si="9"/>
        <v>22.171603152491254</v>
      </c>
      <c r="U61" s="6">
        <f t="shared" si="9"/>
        <v>22.504177199778621</v>
      </c>
    </row>
    <row r="62" spans="1:25" x14ac:dyDescent="0.3">
      <c r="A62" t="s">
        <v>58</v>
      </c>
      <c r="C62">
        <v>0.9</v>
      </c>
    </row>
    <row r="63" spans="1:25" x14ac:dyDescent="0.3">
      <c r="A63" t="s">
        <v>59</v>
      </c>
      <c r="F63" s="3">
        <v>1.4999999999999999E-2</v>
      </c>
    </row>
    <row r="64" spans="1:25" x14ac:dyDescent="0.3">
      <c r="A64" t="s">
        <v>60</v>
      </c>
      <c r="C64">
        <v>0.6</v>
      </c>
    </row>
    <row r="65" spans="1:25" x14ac:dyDescent="0.3">
      <c r="A65" t="s">
        <v>61</v>
      </c>
      <c r="C65">
        <v>4500</v>
      </c>
    </row>
    <row r="66" spans="1:25" x14ac:dyDescent="0.3">
      <c r="A66" t="s">
        <v>63</v>
      </c>
      <c r="C66" s="3">
        <v>7.4999999999999997E-3</v>
      </c>
    </row>
    <row r="67" spans="1:25" x14ac:dyDescent="0.3">
      <c r="F67" s="7"/>
      <c r="G67" s="7"/>
    </row>
    <row r="68" spans="1:25" x14ac:dyDescent="0.3">
      <c r="A68" t="s">
        <v>86</v>
      </c>
      <c r="E68" t="s">
        <v>62</v>
      </c>
      <c r="F68" s="7">
        <f>F70*0.03*4500/C28</f>
        <v>3750</v>
      </c>
      <c r="G68" s="7">
        <f>SUM(F70:G70)*0.03*4500/C28</f>
        <v>7500</v>
      </c>
      <c r="H68">
        <f>SUM(F70:H70)*0.03*4500/C28</f>
        <v>11250</v>
      </c>
      <c r="I68">
        <f>SUM(F70:I70)*0.03*4500/C28</f>
        <v>15000</v>
      </c>
      <c r="J68">
        <f>SUM(F70:J70)*0.03*4500/C28</f>
        <v>18750</v>
      </c>
      <c r="K68">
        <f>SUM(F70:K70)*0.03*4500/C28</f>
        <v>22500</v>
      </c>
      <c r="L68">
        <f>SUM(F70:L70)*0.03*4500/C28</f>
        <v>26250</v>
      </c>
      <c r="M68">
        <f>SUM(F70:M70)*0.03*4500/C28</f>
        <v>30000</v>
      </c>
      <c r="N68">
        <f>SUM(F70:N70)*0.03*4500/C28</f>
        <v>33750</v>
      </c>
      <c r="O68">
        <f>SUM(F70:O70)*0.03*4500/C28</f>
        <v>37500</v>
      </c>
      <c r="P68">
        <f>SUM(F70:P70)*0.03*4500/C28</f>
        <v>41250</v>
      </c>
      <c r="Q68">
        <f>SUM(F70:Q70)*0.03*4500/C28</f>
        <v>45000</v>
      </c>
      <c r="R68">
        <f>SUM(F70:R70)*0.03*4500/C28</f>
        <v>48750</v>
      </c>
      <c r="S68">
        <f>SUM(F70:S70)*0.03*4500/C28</f>
        <v>52500</v>
      </c>
      <c r="T68">
        <f>SUM(F70:T70)*0.03*4500/C28</f>
        <v>56250</v>
      </c>
      <c r="U68">
        <f>SUM(F70:U70)*0.03*4500/C28</f>
        <v>60000</v>
      </c>
      <c r="W68" t="s">
        <v>51</v>
      </c>
      <c r="X68">
        <f>SUM(F68:U68)/1000</f>
        <v>510</v>
      </c>
      <c r="Y68" t="s">
        <v>7</v>
      </c>
    </row>
    <row r="69" spans="1:25" x14ac:dyDescent="0.3">
      <c r="A69" t="s">
        <v>54</v>
      </c>
      <c r="E69" t="s">
        <v>45</v>
      </c>
      <c r="F69">
        <f t="shared" ref="F69:U69" si="10">F68*F27/1000000</f>
        <v>6.7500000000000004E-2</v>
      </c>
      <c r="G69" s="8">
        <f t="shared" si="10"/>
        <v>0.13702500000000001</v>
      </c>
      <c r="H69">
        <f t="shared" si="10"/>
        <v>0.20862056249999997</v>
      </c>
      <c r="I69">
        <f t="shared" si="10"/>
        <v>0.28233316124999996</v>
      </c>
      <c r="J69">
        <f t="shared" si="10"/>
        <v>0.35821019833593742</v>
      </c>
      <c r="K69">
        <f t="shared" si="10"/>
        <v>0.43630002157317166</v>
      </c>
      <c r="L69">
        <f t="shared" si="10"/>
        <v>0.51665194221289745</v>
      </c>
      <c r="M69">
        <f t="shared" si="10"/>
        <v>0.59931625296696101</v>
      </c>
      <c r="N69">
        <f t="shared" si="10"/>
        <v>0.68434424635664848</v>
      </c>
      <c r="O69">
        <f t="shared" si="10"/>
        <v>0.77178823339110902</v>
      </c>
      <c r="P69">
        <f t="shared" si="10"/>
        <v>0.86170156258117314</v>
      </c>
      <c r="Q69">
        <f t="shared" si="10"/>
        <v>0.95413863929442633</v>
      </c>
      <c r="R69">
        <f t="shared" si="10"/>
        <v>1.049154945457496</v>
      </c>
      <c r="S69">
        <f t="shared" si="10"/>
        <v>1.1468070596116167</v>
      </c>
      <c r="T69">
        <f t="shared" si="10"/>
        <v>1.2471526773276331</v>
      </c>
      <c r="U69">
        <f t="shared" si="10"/>
        <v>1.3502506319867171</v>
      </c>
      <c r="W69" t="s">
        <v>51</v>
      </c>
      <c r="X69" s="4">
        <f>SUM(F69:U69)</f>
        <v>10.671295134845789</v>
      </c>
      <c r="Y69" t="s">
        <v>45</v>
      </c>
    </row>
    <row r="70" spans="1:25" x14ac:dyDescent="0.3">
      <c r="A70" t="s">
        <v>66</v>
      </c>
      <c r="E70" t="s">
        <v>9</v>
      </c>
      <c r="F70">
        <v>25</v>
      </c>
      <c r="G70">
        <v>25</v>
      </c>
      <c r="H70">
        <v>25</v>
      </c>
      <c r="I70">
        <v>25</v>
      </c>
      <c r="J70">
        <v>25</v>
      </c>
      <c r="K70">
        <v>25</v>
      </c>
      <c r="L70">
        <v>25</v>
      </c>
      <c r="M70">
        <v>25</v>
      </c>
      <c r="N70">
        <v>25</v>
      </c>
      <c r="O70">
        <v>25</v>
      </c>
      <c r="P70">
        <v>25</v>
      </c>
      <c r="Q70">
        <v>25</v>
      </c>
      <c r="R70">
        <v>25</v>
      </c>
      <c r="S70">
        <v>25</v>
      </c>
      <c r="T70">
        <v>25</v>
      </c>
      <c r="U70">
        <v>25</v>
      </c>
    </row>
    <row r="72" spans="1:25" x14ac:dyDescent="0.3">
      <c r="A72" t="s">
        <v>88</v>
      </c>
    </row>
    <row r="74" spans="1:25" x14ac:dyDescent="0.3">
      <c r="A74" t="s">
        <v>6</v>
      </c>
      <c r="E74" t="s">
        <v>7</v>
      </c>
      <c r="F74">
        <v>5.8</v>
      </c>
      <c r="G74">
        <v>5.8</v>
      </c>
      <c r="H74">
        <v>5.8</v>
      </c>
      <c r="I74">
        <v>5.8</v>
      </c>
      <c r="J74">
        <v>5.8</v>
      </c>
      <c r="K74">
        <v>5.8</v>
      </c>
      <c r="L74">
        <v>5.8</v>
      </c>
      <c r="M74">
        <v>5.8</v>
      </c>
      <c r="N74">
        <v>5.8</v>
      </c>
      <c r="O74">
        <v>5.8</v>
      </c>
      <c r="P74">
        <v>5.8</v>
      </c>
      <c r="Q74">
        <v>5.8</v>
      </c>
      <c r="R74">
        <v>5.8</v>
      </c>
      <c r="S74">
        <v>5.8</v>
      </c>
      <c r="T74">
        <v>5.8</v>
      </c>
      <c r="U74">
        <v>6</v>
      </c>
    </row>
    <row r="75" spans="1:25" x14ac:dyDescent="0.3">
      <c r="A75" t="s">
        <v>79</v>
      </c>
      <c r="E75" t="s">
        <v>7</v>
      </c>
      <c r="F75">
        <v>2.5</v>
      </c>
      <c r="G75">
        <v>2.5</v>
      </c>
      <c r="H75">
        <v>2.5</v>
      </c>
      <c r="I75">
        <v>2.5</v>
      </c>
      <c r="J75">
        <v>2.5</v>
      </c>
      <c r="K75">
        <v>2.5</v>
      </c>
      <c r="L75">
        <v>2.5</v>
      </c>
      <c r="M75">
        <v>2.5</v>
      </c>
      <c r="N75">
        <v>2.5</v>
      </c>
      <c r="O75">
        <v>2.5</v>
      </c>
      <c r="P75">
        <v>2.5</v>
      </c>
      <c r="Q75">
        <v>2.5</v>
      </c>
      <c r="R75">
        <v>2.5</v>
      </c>
      <c r="S75">
        <v>2.5</v>
      </c>
      <c r="T75">
        <v>2.5</v>
      </c>
      <c r="U75">
        <v>2.5</v>
      </c>
    </row>
    <row r="76" spans="1:25" x14ac:dyDescent="0.3">
      <c r="A76" t="s">
        <v>80</v>
      </c>
      <c r="E76" t="s">
        <v>7</v>
      </c>
      <c r="F76">
        <v>3.3</v>
      </c>
      <c r="G76">
        <v>3.3</v>
      </c>
      <c r="H76">
        <v>3.3</v>
      </c>
      <c r="I76">
        <v>3.3</v>
      </c>
      <c r="J76">
        <v>3.3</v>
      </c>
      <c r="K76">
        <v>3.3</v>
      </c>
      <c r="L76">
        <v>3.3</v>
      </c>
      <c r="M76">
        <v>3.3</v>
      </c>
      <c r="N76">
        <v>3.3</v>
      </c>
      <c r="O76">
        <v>3.3</v>
      </c>
      <c r="P76">
        <v>3.3</v>
      </c>
      <c r="Q76">
        <v>3.3</v>
      </c>
      <c r="R76">
        <v>3.3</v>
      </c>
      <c r="S76">
        <v>3.3</v>
      </c>
      <c r="T76">
        <v>3.3</v>
      </c>
      <c r="U76">
        <v>3.5</v>
      </c>
    </row>
    <row r="77" spans="1:25" x14ac:dyDescent="0.3">
      <c r="A77" t="s">
        <v>81</v>
      </c>
      <c r="E77" t="s">
        <v>7</v>
      </c>
      <c r="F77">
        <f>(F75+F76)/0.85*0.15</f>
        <v>1.0235294117647058</v>
      </c>
      <c r="G77">
        <f>SUM(F74:G74)/0.85*0.15</f>
        <v>2.0470588235294116</v>
      </c>
      <c r="H77">
        <f>SUM(F74:H74)/0.85*0.15</f>
        <v>3.0705882352941174</v>
      </c>
      <c r="I77">
        <f>SUM(F74:I74)/0.85*0.15</f>
        <v>4.0941176470588232</v>
      </c>
      <c r="J77">
        <f>SUM(F74:J74)/0.85*0.15</f>
        <v>5.117647058823529</v>
      </c>
      <c r="K77">
        <f>SUM(F74:K74)/0.85*0.15</f>
        <v>6.1411764705882348</v>
      </c>
      <c r="L77">
        <f>SUM(F74:L74)/0.85*0.15</f>
        <v>7.1647058823529397</v>
      </c>
      <c r="M77">
        <f>SUM(F74:M74)/0.85*0.15</f>
        <v>8.1882352941176446</v>
      </c>
      <c r="N77">
        <f>SUM(F74:N74)/0.85*0.15</f>
        <v>9.2117647058823504</v>
      </c>
      <c r="O77">
        <f>SUM(F74:O74)/0.85*0.15</f>
        <v>10.235294117647056</v>
      </c>
      <c r="P77">
        <f>SUM(F74:P74)/0.85*0.15</f>
        <v>11.25882352941176</v>
      </c>
      <c r="Q77">
        <f>SUM(F74:Q74)/0.85*0.15</f>
        <v>12.282352941176468</v>
      </c>
      <c r="R77">
        <f>SUM(F74:R74)/0.85*0.15</f>
        <v>13.305882352941172</v>
      </c>
      <c r="S77">
        <f>SUM(F74:S74)/0.85*0.15</f>
        <v>14.329411764705878</v>
      </c>
      <c r="T77">
        <f>SUM(F74:T74)/0.85*0.15</f>
        <v>15.352941176470582</v>
      </c>
      <c r="U77">
        <f>SUM(F74:U74)/0.85*0.15</f>
        <v>16.411764705882348</v>
      </c>
      <c r="W77" t="s">
        <v>51</v>
      </c>
      <c r="X77" s="7">
        <f>SUM(F77:U77)</f>
        <v>139.23529411764702</v>
      </c>
      <c r="Y77" t="s">
        <v>7</v>
      </c>
    </row>
    <row r="78" spans="1:25" x14ac:dyDescent="0.3">
      <c r="A78" t="s">
        <v>82</v>
      </c>
    </row>
    <row r="79" spans="1:25" x14ac:dyDescent="0.3">
      <c r="A79" t="s">
        <v>83</v>
      </c>
      <c r="E79" t="s">
        <v>45</v>
      </c>
      <c r="F79">
        <f>F77/C28*F43/1000</f>
        <v>4.2749411764705883E-2</v>
      </c>
      <c r="G79">
        <f>G77/C28*G43/1000</f>
        <v>8.6781305882352944E-2</v>
      </c>
      <c r="H79">
        <f>H77/C28*H43/1000</f>
        <v>0.1321245382058823</v>
      </c>
      <c r="I79">
        <f>I77/C28*I43/1000</f>
        <v>0.17880854170529406</v>
      </c>
      <c r="J79">
        <f>J77/C28*J43/1000</f>
        <v>0.22686333728859182</v>
      </c>
      <c r="K79">
        <f>K77/C28*K43/1000</f>
        <v>0.27631954481750476</v>
      </c>
      <c r="L79">
        <f>L77/C28*L43/1000</f>
        <v>0.32720839432139526</v>
      </c>
      <c r="M79">
        <f>M77/C28*M43/1000</f>
        <v>0.37956173741281846</v>
      </c>
      <c r="N79">
        <f>N77/C28*N43/1000</f>
        <v>0.43341205890826207</v>
      </c>
      <c r="O79">
        <f>O77/C28*O43/1000</f>
        <v>0.48879248865765101</v>
      </c>
      <c r="P79">
        <f>P77/C28*P43/1000</f>
        <v>0.54573681358626724</v>
      </c>
      <c r="Q79">
        <f>Q77/C28*Q43/1000</f>
        <v>0.60427948995279401</v>
      </c>
      <c r="R79">
        <f>R77/C28*R43/1000</f>
        <v>0.66445565582725963</v>
      </c>
      <c r="S79">
        <f>S77/C28*S43/1000</f>
        <v>0.72630114379272004</v>
      </c>
      <c r="T79">
        <f>T77/C28*T43/1000</f>
        <v>0.78985249387458278</v>
      </c>
      <c r="U79">
        <f>U77/C28*U43/1000</f>
        <v>0.85698995585392257</v>
      </c>
      <c r="W79" t="s">
        <v>51</v>
      </c>
      <c r="X79" s="4">
        <f>SUM(F79:U79)</f>
        <v>6.7602369118520045</v>
      </c>
      <c r="Y79" t="s">
        <v>45</v>
      </c>
    </row>
    <row r="81" spans="1:25" x14ac:dyDescent="0.3">
      <c r="A81" s="9" t="s">
        <v>38</v>
      </c>
    </row>
    <row r="82" spans="1:25" x14ac:dyDescent="0.3">
      <c r="A82" s="17" t="s">
        <v>53</v>
      </c>
      <c r="E82" t="s">
        <v>62</v>
      </c>
      <c r="F82">
        <f>F84*C89*C88*0.0075</f>
        <v>2409.75</v>
      </c>
      <c r="G82">
        <f>(F84+G84)*C89*C88*0.0075</f>
        <v>4819.5</v>
      </c>
      <c r="H82">
        <f>SUM(F84:H84)*C89*C88*0.0075</f>
        <v>7229.25</v>
      </c>
      <c r="I82">
        <f>SUM(F84:I84)*C89*C88*0.0075</f>
        <v>9639</v>
      </c>
      <c r="J82">
        <f>SUM(F84:J84)*C89*C88*0.0075</f>
        <v>12048.75</v>
      </c>
      <c r="K82">
        <f>SUM(F84:K84)*C89*C88*0.0075</f>
        <v>14458.5</v>
      </c>
      <c r="L82">
        <f>SUM(F84:L84)*C89*C88*0.0075</f>
        <v>16868.25</v>
      </c>
      <c r="M82">
        <f>SUM(F84:M84)*C89*C88*0.0075</f>
        <v>19278</v>
      </c>
      <c r="N82">
        <f>SUM(F84:N84)*C89*C88*0.0075</f>
        <v>21687.75</v>
      </c>
      <c r="O82">
        <f>SUM(F84:O84)*C89*C88*0.0075</f>
        <v>24097.5</v>
      </c>
      <c r="P82">
        <f>SUM(F84:P84)*C89*C88*0.0075</f>
        <v>26507.25</v>
      </c>
      <c r="Q82">
        <f>SUM(F84:Q84)*C89*C88*0.0075</f>
        <v>28917</v>
      </c>
      <c r="R82">
        <f>SUM(F84:R84)*C89*C88*0.0075</f>
        <v>31326.75</v>
      </c>
      <c r="S82">
        <f>SUM(F84:S84)*C89*C88*0.0075</f>
        <v>33736.5</v>
      </c>
      <c r="T82">
        <f>SUM(F84:T84)*C89*C88*0.0075</f>
        <v>36146.25</v>
      </c>
      <c r="U82">
        <f>SUM(F84:U84)*C89*C88*0.0075</f>
        <v>38475</v>
      </c>
      <c r="W82" t="s">
        <v>51</v>
      </c>
      <c r="X82" s="7">
        <f>SUM(F82:U82)/1000</f>
        <v>327.64499999999998</v>
      </c>
      <c r="Y82" t="s">
        <v>7</v>
      </c>
    </row>
    <row r="83" spans="1:25" x14ac:dyDescent="0.3">
      <c r="A83" t="s">
        <v>54</v>
      </c>
      <c r="E83" t="s">
        <v>45</v>
      </c>
      <c r="F83">
        <f>F82/C86*F85/1000000</f>
        <v>4.8195000000000002E-2</v>
      </c>
      <c r="G83">
        <f>G82/C86*G85/1000000</f>
        <v>9.7835849999999988E-2</v>
      </c>
      <c r="H83">
        <f>H82/C86*H85/1000000</f>
        <v>0.14895508162499999</v>
      </c>
      <c r="I83">
        <f>I82/C86*I85/1000000</f>
        <v>0.20158587713249998</v>
      </c>
      <c r="J83">
        <f>J82/C86*J85/1000000</f>
        <v>0.25576208161185932</v>
      </c>
      <c r="K83">
        <f>K82/C86*K85/1000000</f>
        <v>0.31151821540324459</v>
      </c>
      <c r="L83">
        <f>L82/C86*L85/1000000</f>
        <v>0.36888948674000877</v>
      </c>
      <c r="M83">
        <f>M82/C86*M85/1000000</f>
        <v>0.42791180461841011</v>
      </c>
      <c r="N83">
        <f>N82/C86*N85/1000000</f>
        <v>0.48862179189864702</v>
      </c>
      <c r="O83">
        <f>O82/C86*O85/1000000</f>
        <v>0.5510567986412519</v>
      </c>
      <c r="P83">
        <f>P82/C86*P85/1000000</f>
        <v>0.61525491568295765</v>
      </c>
      <c r="Q83">
        <f>Q82/C86*Q85/1000000</f>
        <v>0.68125498845622035</v>
      </c>
      <c r="R83">
        <f>R82/C86*R85/1000000</f>
        <v>0.74909663105665214</v>
      </c>
      <c r="S83">
        <f>S82/C86*S85/1000000</f>
        <v>0.81882024056269442</v>
      </c>
      <c r="T83">
        <f>T82/C86*T85/1000000</f>
        <v>0.89046701161192998</v>
      </c>
      <c r="U83">
        <f>U82/C86*U85/1000000</f>
        <v>0.96205357529053603</v>
      </c>
      <c r="W83" t="s">
        <v>51</v>
      </c>
      <c r="X83" s="4">
        <f>SUM(F83:U83)</f>
        <v>7.6172793503319127</v>
      </c>
      <c r="Y83" t="s">
        <v>45</v>
      </c>
    </row>
    <row r="84" spans="1:25" x14ac:dyDescent="0.3">
      <c r="A84" t="s">
        <v>55</v>
      </c>
      <c r="E84" t="s">
        <v>12</v>
      </c>
      <c r="F84">
        <v>119</v>
      </c>
      <c r="G84">
        <v>119</v>
      </c>
      <c r="H84">
        <v>119</v>
      </c>
      <c r="I84">
        <v>119</v>
      </c>
      <c r="J84">
        <v>119</v>
      </c>
      <c r="K84">
        <v>119</v>
      </c>
      <c r="L84">
        <v>119</v>
      </c>
      <c r="M84">
        <v>119</v>
      </c>
      <c r="N84">
        <v>119</v>
      </c>
      <c r="O84">
        <v>119</v>
      </c>
      <c r="P84">
        <v>119</v>
      </c>
      <c r="Q84">
        <v>119</v>
      </c>
      <c r="R84">
        <v>119</v>
      </c>
      <c r="S84">
        <v>119</v>
      </c>
      <c r="T84">
        <v>119</v>
      </c>
      <c r="U84">
        <v>115</v>
      </c>
    </row>
    <row r="85" spans="1:25" x14ac:dyDescent="0.3">
      <c r="A85" t="s">
        <v>56</v>
      </c>
      <c r="E85" t="s">
        <v>57</v>
      </c>
      <c r="F85">
        <v>18</v>
      </c>
      <c r="G85">
        <f t="shared" ref="G85:U85" si="11">F85*1.015</f>
        <v>18.27</v>
      </c>
      <c r="H85">
        <f t="shared" si="11"/>
        <v>18.544049999999999</v>
      </c>
      <c r="I85">
        <f t="shared" si="11"/>
        <v>18.822210749999996</v>
      </c>
      <c r="J85">
        <f t="shared" si="11"/>
        <v>19.104543911249994</v>
      </c>
      <c r="K85">
        <f t="shared" si="11"/>
        <v>19.391112069918741</v>
      </c>
      <c r="L85">
        <f t="shared" si="11"/>
        <v>19.68197875096752</v>
      </c>
      <c r="M85">
        <f t="shared" si="11"/>
        <v>19.977208432232032</v>
      </c>
      <c r="N85">
        <f t="shared" si="11"/>
        <v>20.276866558715511</v>
      </c>
      <c r="O85">
        <f t="shared" si="11"/>
        <v>20.581019557096241</v>
      </c>
      <c r="P85">
        <f t="shared" si="11"/>
        <v>20.889734850452683</v>
      </c>
      <c r="Q85">
        <f t="shared" si="11"/>
        <v>21.203080873209473</v>
      </c>
      <c r="R85">
        <f t="shared" si="11"/>
        <v>21.521127086307612</v>
      </c>
      <c r="S85">
        <f t="shared" si="11"/>
        <v>21.843943992602224</v>
      </c>
      <c r="T85">
        <f t="shared" si="11"/>
        <v>22.171603152491254</v>
      </c>
      <c r="U85">
        <f t="shared" si="11"/>
        <v>22.504177199778621</v>
      </c>
    </row>
    <row r="86" spans="1:25" x14ac:dyDescent="0.3">
      <c r="A86" t="s">
        <v>58</v>
      </c>
      <c r="C86">
        <v>0.9</v>
      </c>
    </row>
    <row r="87" spans="1:25" x14ac:dyDescent="0.3">
      <c r="A87" t="s">
        <v>59</v>
      </c>
      <c r="F87">
        <v>1.4999999999999999E-2</v>
      </c>
    </row>
    <row r="88" spans="1:25" x14ac:dyDescent="0.3">
      <c r="A88" t="s">
        <v>60</v>
      </c>
      <c r="C88">
        <v>0.6</v>
      </c>
    </row>
    <row r="89" spans="1:25" x14ac:dyDescent="0.3">
      <c r="A89" t="s">
        <v>61</v>
      </c>
      <c r="C89">
        <v>4500</v>
      </c>
    </row>
    <row r="90" spans="1:25" x14ac:dyDescent="0.3">
      <c r="A90" t="s">
        <v>63</v>
      </c>
      <c r="C90">
        <v>7.4999999999999997E-3</v>
      </c>
    </row>
    <row r="92" spans="1:25" x14ac:dyDescent="0.3">
      <c r="A92" t="s">
        <v>86</v>
      </c>
      <c r="E92" t="s">
        <v>62</v>
      </c>
      <c r="F92">
        <f>F94*0.03*4500/C28</f>
        <v>6562.5</v>
      </c>
      <c r="G92">
        <f>SUM(F94:G94)*0.03*4500/C28</f>
        <v>13125</v>
      </c>
      <c r="H92">
        <f>SUM(F94:H94)*0.03*4500/C28</f>
        <v>19687.5</v>
      </c>
      <c r="I92">
        <f>SUM(F94:I94)*0.03*4500/C28</f>
        <v>26250</v>
      </c>
      <c r="J92">
        <f>SUM(F94:J94)*0.03*4500/C28</f>
        <v>32812.5</v>
      </c>
      <c r="K92">
        <f>SUM(F94:K94)*0.03*4500/C28</f>
        <v>39375</v>
      </c>
      <c r="L92">
        <f>SUM(F94:L94)*0.03*4500/C28</f>
        <v>45937.5</v>
      </c>
      <c r="M92">
        <f>SUM(F94:M94)*0.03*4500/C28</f>
        <v>52500</v>
      </c>
      <c r="N92">
        <f>SUM(F94:N94)*0.03*4500/C28</f>
        <v>59062.5</v>
      </c>
      <c r="O92">
        <f>SUM(F94:O94)*0.03*4500/C28</f>
        <v>65625</v>
      </c>
      <c r="P92">
        <f>SUM(F94:P94)*0.03*4500/C28</f>
        <v>72187.5</v>
      </c>
      <c r="Q92">
        <f>SUM(F94:Q94)*0.03*4500/C28</f>
        <v>78750</v>
      </c>
      <c r="R92">
        <f>SUM(F94:R94)*0.03*4500/C28</f>
        <v>85312.5</v>
      </c>
      <c r="S92">
        <f>SUM(F94:S94)*0.03*4500/C28</f>
        <v>91875</v>
      </c>
      <c r="T92">
        <f>SUM(F94:T94)*0.03*4500/C28</f>
        <v>98437.5</v>
      </c>
      <c r="U92">
        <f>SUM(F94:U94)*0.03*4500/C28</f>
        <v>105000</v>
      </c>
      <c r="W92" t="s">
        <v>51</v>
      </c>
      <c r="X92" s="7">
        <f>SUM(F92:U92)/1000</f>
        <v>892.5</v>
      </c>
      <c r="Y92" t="s">
        <v>7</v>
      </c>
    </row>
    <row r="93" spans="1:25" x14ac:dyDescent="0.3">
      <c r="A93" t="s">
        <v>54</v>
      </c>
      <c r="E93" t="s">
        <v>45</v>
      </c>
      <c r="F93">
        <f t="shared" ref="F93:U93" si="12">F92*F27/1000000</f>
        <v>0.11812499999999999</v>
      </c>
      <c r="G93">
        <f t="shared" si="12"/>
        <v>0.23979375</v>
      </c>
      <c r="H93">
        <f t="shared" si="12"/>
        <v>0.36508598437500001</v>
      </c>
      <c r="I93">
        <f t="shared" si="12"/>
        <v>0.49408303218749994</v>
      </c>
      <c r="J93">
        <f t="shared" si="12"/>
        <v>0.62686784708789045</v>
      </c>
      <c r="K93">
        <f t="shared" si="12"/>
        <v>0.76352503775305047</v>
      </c>
      <c r="L93">
        <f t="shared" si="12"/>
        <v>0.90414089887257043</v>
      </c>
      <c r="M93">
        <f t="shared" si="12"/>
        <v>1.0488034426921817</v>
      </c>
      <c r="N93">
        <f t="shared" si="12"/>
        <v>1.1976024311241349</v>
      </c>
      <c r="O93">
        <f t="shared" si="12"/>
        <v>1.3506294084344408</v>
      </c>
      <c r="P93">
        <f t="shared" si="12"/>
        <v>1.5079777345170531</v>
      </c>
      <c r="Q93">
        <f t="shared" si="12"/>
        <v>1.669742618765246</v>
      </c>
      <c r="R93">
        <f t="shared" si="12"/>
        <v>1.836021154550618</v>
      </c>
      <c r="S93">
        <f t="shared" si="12"/>
        <v>2.0069123543203293</v>
      </c>
      <c r="T93">
        <f t="shared" si="12"/>
        <v>2.1825171853233583</v>
      </c>
      <c r="U93">
        <f t="shared" si="12"/>
        <v>2.3629386059767552</v>
      </c>
      <c r="W93" t="s">
        <v>51</v>
      </c>
      <c r="X93" s="4">
        <f>SUM(F93:U93)</f>
        <v>18.674766485980129</v>
      </c>
      <c r="Y93" t="s">
        <v>45</v>
      </c>
    </row>
    <row r="94" spans="1:25" x14ac:dyDescent="0.3">
      <c r="A94" t="s">
        <v>66</v>
      </c>
      <c r="E94" t="s">
        <v>9</v>
      </c>
      <c r="F94">
        <v>43.75</v>
      </c>
      <c r="G94">
        <v>43.75</v>
      </c>
      <c r="H94">
        <v>43.75</v>
      </c>
      <c r="I94">
        <v>43.75</v>
      </c>
      <c r="J94">
        <v>43.75</v>
      </c>
      <c r="K94">
        <v>43.75</v>
      </c>
      <c r="L94">
        <v>43.75</v>
      </c>
      <c r="M94">
        <v>43.75</v>
      </c>
      <c r="N94">
        <v>43.75</v>
      </c>
      <c r="O94">
        <v>43.75</v>
      </c>
      <c r="P94">
        <v>43.75</v>
      </c>
      <c r="Q94">
        <v>43.75</v>
      </c>
      <c r="R94">
        <v>43.75</v>
      </c>
      <c r="S94">
        <v>43.75</v>
      </c>
      <c r="T94">
        <v>43.75</v>
      </c>
      <c r="U94">
        <v>43.75</v>
      </c>
    </row>
    <row r="96" spans="1:25" x14ac:dyDescent="0.3">
      <c r="A96" t="s">
        <v>87</v>
      </c>
    </row>
    <row r="98" spans="1:25" x14ac:dyDescent="0.3">
      <c r="A98" t="s">
        <v>6</v>
      </c>
      <c r="E98" t="s">
        <v>7</v>
      </c>
      <c r="F98">
        <v>10</v>
      </c>
      <c r="G98">
        <v>10</v>
      </c>
      <c r="H98">
        <v>10</v>
      </c>
      <c r="I98">
        <v>10</v>
      </c>
      <c r="J98">
        <v>10</v>
      </c>
      <c r="K98">
        <v>10</v>
      </c>
      <c r="L98">
        <v>10</v>
      </c>
      <c r="M98">
        <v>10</v>
      </c>
      <c r="N98">
        <v>10</v>
      </c>
      <c r="O98">
        <v>10</v>
      </c>
      <c r="P98">
        <v>10</v>
      </c>
      <c r="Q98">
        <v>10</v>
      </c>
      <c r="R98">
        <v>10</v>
      </c>
      <c r="S98">
        <v>10</v>
      </c>
      <c r="T98">
        <v>10</v>
      </c>
      <c r="U98">
        <v>10</v>
      </c>
    </row>
    <row r="99" spans="1:25" x14ac:dyDescent="0.3">
      <c r="A99" t="s">
        <v>79</v>
      </c>
      <c r="E99" t="s">
        <v>7</v>
      </c>
      <c r="F99">
        <v>4</v>
      </c>
      <c r="G99">
        <v>4</v>
      </c>
      <c r="H99">
        <v>4</v>
      </c>
      <c r="I99">
        <v>4</v>
      </c>
      <c r="J99">
        <v>4</v>
      </c>
      <c r="K99">
        <v>4</v>
      </c>
      <c r="L99">
        <v>4</v>
      </c>
      <c r="M99">
        <v>4</v>
      </c>
      <c r="N99">
        <v>4</v>
      </c>
      <c r="O99">
        <v>4</v>
      </c>
      <c r="P99">
        <v>4</v>
      </c>
      <c r="Q99">
        <v>4</v>
      </c>
      <c r="R99">
        <v>4</v>
      </c>
      <c r="S99">
        <v>4</v>
      </c>
      <c r="T99">
        <v>4</v>
      </c>
      <c r="U99">
        <v>5</v>
      </c>
    </row>
    <row r="100" spans="1:25" x14ac:dyDescent="0.3">
      <c r="A100" t="s">
        <v>80</v>
      </c>
      <c r="E100" t="s">
        <v>7</v>
      </c>
      <c r="F100">
        <v>6</v>
      </c>
      <c r="G100">
        <v>6</v>
      </c>
      <c r="H100">
        <v>6</v>
      </c>
      <c r="I100">
        <v>6</v>
      </c>
      <c r="J100">
        <v>6</v>
      </c>
      <c r="K100">
        <v>6</v>
      </c>
      <c r="L100">
        <v>6</v>
      </c>
      <c r="M100">
        <v>6</v>
      </c>
      <c r="N100">
        <v>6</v>
      </c>
      <c r="O100">
        <v>6</v>
      </c>
      <c r="P100">
        <v>6</v>
      </c>
      <c r="Q100">
        <v>6</v>
      </c>
      <c r="R100">
        <v>6</v>
      </c>
      <c r="S100">
        <v>6</v>
      </c>
      <c r="T100">
        <v>6</v>
      </c>
      <c r="U100">
        <v>5</v>
      </c>
    </row>
    <row r="101" spans="1:25" x14ac:dyDescent="0.3">
      <c r="A101" t="s">
        <v>81</v>
      </c>
      <c r="E101" t="s">
        <v>7</v>
      </c>
      <c r="F101">
        <f>F98/0.85*0.15</f>
        <v>1.7647058823529413</v>
      </c>
      <c r="G101">
        <f>SUM(F98:G98)/0.85*0.15</f>
        <v>3.5294117647058827</v>
      </c>
      <c r="H101">
        <f>SUM(F98:H98)/0.85*0.15</f>
        <v>5.2941176470588234</v>
      </c>
      <c r="I101">
        <f>SUM(F98:I98)/0.85*0.15</f>
        <v>7.0588235294117654</v>
      </c>
      <c r="J101">
        <f>SUM(F98:J98)/0.85*0.15</f>
        <v>8.8235294117647065</v>
      </c>
      <c r="K101">
        <f>SUM(F98:K98)/0.85*0.15</f>
        <v>10.588235294117647</v>
      </c>
      <c r="L101">
        <f>SUM(F98:L98)/0.85*0.15</f>
        <v>12.352941176470589</v>
      </c>
      <c r="M101">
        <f>SUM(F98:M98)/0.85*0.15</f>
        <v>14.117647058823531</v>
      </c>
      <c r="N101">
        <f>SUM(F98:N98)/0.85*0.15</f>
        <v>15.882352941176471</v>
      </c>
      <c r="O101">
        <f>SUM(F98:O98)/0.85*0.15</f>
        <v>17.647058823529413</v>
      </c>
      <c r="P101">
        <f>SUM(F98:P98)/0.85*0.15</f>
        <v>19.411764705882351</v>
      </c>
      <c r="Q101">
        <f>SUM(F98:Q98)/0.85*0.15</f>
        <v>21.176470588235293</v>
      </c>
      <c r="R101">
        <f>SUM(F98:R98)/0.85*0.15</f>
        <v>22.941176470588236</v>
      </c>
      <c r="S101">
        <f>SUM(F98:S98)/0.85*0.15</f>
        <v>24.705882352941178</v>
      </c>
      <c r="T101">
        <f>SUM(F98:T98)/0.85*0.15</f>
        <v>26.470588235294116</v>
      </c>
      <c r="U101">
        <f>SUM(F98:U98)/0.85*0.15</f>
        <v>28.235294117647062</v>
      </c>
      <c r="W101" t="s">
        <v>51</v>
      </c>
      <c r="X101">
        <f>SUM(F101:U101)</f>
        <v>240.00000000000003</v>
      </c>
      <c r="Y101" t="s">
        <v>7</v>
      </c>
    </row>
    <row r="102" spans="1:25" x14ac:dyDescent="0.3">
      <c r="A102" t="s">
        <v>82</v>
      </c>
    </row>
    <row r="103" spans="1:25" x14ac:dyDescent="0.3">
      <c r="A103" t="s">
        <v>83</v>
      </c>
      <c r="E103" t="s">
        <v>45</v>
      </c>
      <c r="F103">
        <f>F101/C28*F43/1000</f>
        <v>7.3705882352941191E-2</v>
      </c>
      <c r="G103">
        <f>G101/C28*G43/1000</f>
        <v>0.1496229411764706</v>
      </c>
      <c r="H103">
        <f>H101/C28*H43/1000</f>
        <v>0.2278009279411764</v>
      </c>
      <c r="I103">
        <f>I101/C28*I43/1000</f>
        <v>0.30829058914705876</v>
      </c>
      <c r="J103">
        <f>J101/C28*J43/1000</f>
        <v>0.39114368498033075</v>
      </c>
      <c r="K103">
        <f>K101/C28*K43/1000</f>
        <v>0.47641300830604277</v>
      </c>
      <c r="L103">
        <f>L101/C28*L43/1000</f>
        <v>0.56415240400240574</v>
      </c>
      <c r="M103">
        <f>M101/C28*M43/1000</f>
        <v>0.65441678864279063</v>
      </c>
      <c r="N103">
        <f>N101/C28*N43/1000</f>
        <v>0.74726217053148647</v>
      </c>
      <c r="O103">
        <f>O101/C28*O43/1000</f>
        <v>0.8427456700993986</v>
      </c>
      <c r="P103">
        <f>P101/C28*P43/1000</f>
        <v>0.94092554066597822</v>
      </c>
      <c r="Q103">
        <f>Q101/C28*Q43/1000</f>
        <v>1.041861189573783</v>
      </c>
      <c r="R103">
        <f>R101/C28*R43/1000</f>
        <v>1.1456131997021723</v>
      </c>
      <c r="S103">
        <f>S101/C28*S43/1000</f>
        <v>1.252243351366759</v>
      </c>
      <c r="T103">
        <f>T101/C28*T43/1000</f>
        <v>1.3618146446113504</v>
      </c>
      <c r="U103">
        <f>U101/C28*U43/1000</f>
        <v>1.474391321899222</v>
      </c>
      <c r="W103" t="s">
        <v>51</v>
      </c>
      <c r="X103" s="4">
        <f>SUM(F103:U103)</f>
        <v>11.652403314999367</v>
      </c>
      <c r="Y103" t="s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opLeftCell="F1" workbookViewId="0">
      <selection activeCell="H19" sqref="H19"/>
    </sheetView>
  </sheetViews>
  <sheetFormatPr defaultRowHeight="14.4" x14ac:dyDescent="0.3"/>
  <sheetData>
    <row r="1" spans="1:24" x14ac:dyDescent="0.3">
      <c r="A1" s="19" t="s">
        <v>90</v>
      </c>
      <c r="B1" s="20"/>
      <c r="C1" s="20"/>
      <c r="D1" s="21"/>
    </row>
    <row r="2" spans="1:24" ht="15" thickBot="1" x14ac:dyDescent="0.35">
      <c r="A2" s="22"/>
      <c r="B2" s="23"/>
      <c r="C2" s="23"/>
      <c r="D2" s="24"/>
    </row>
    <row r="4" spans="1:24" x14ac:dyDescent="0.3">
      <c r="E4">
        <v>2031</v>
      </c>
      <c r="F4">
        <v>2032</v>
      </c>
      <c r="G4">
        <v>2033</v>
      </c>
      <c r="H4">
        <v>2034</v>
      </c>
      <c r="I4">
        <v>2035</v>
      </c>
      <c r="J4">
        <v>2036</v>
      </c>
      <c r="K4">
        <v>2037</v>
      </c>
      <c r="L4">
        <v>2038</v>
      </c>
      <c r="M4">
        <v>2039</v>
      </c>
      <c r="N4">
        <v>2040</v>
      </c>
      <c r="O4">
        <v>2041</v>
      </c>
      <c r="P4">
        <v>2042</v>
      </c>
      <c r="Q4">
        <v>2043</v>
      </c>
      <c r="R4">
        <v>2044</v>
      </c>
      <c r="S4">
        <v>2045</v>
      </c>
      <c r="T4">
        <v>2046</v>
      </c>
      <c r="U4">
        <v>2047</v>
      </c>
      <c r="V4">
        <v>2048</v>
      </c>
      <c r="W4">
        <v>2049</v>
      </c>
      <c r="X4">
        <v>2050</v>
      </c>
    </row>
    <row r="6" spans="1:24" x14ac:dyDescent="0.3">
      <c r="A6" t="s">
        <v>37</v>
      </c>
    </row>
    <row r="7" spans="1:24" x14ac:dyDescent="0.3">
      <c r="A7" t="s">
        <v>44</v>
      </c>
      <c r="D7" t="s">
        <v>45</v>
      </c>
      <c r="E7">
        <v>49.5</v>
      </c>
      <c r="F7">
        <v>49.5</v>
      </c>
      <c r="G7">
        <v>49.5</v>
      </c>
      <c r="H7">
        <v>49.5</v>
      </c>
      <c r="I7">
        <v>49.5</v>
      </c>
      <c r="J7">
        <v>49.5</v>
      </c>
      <c r="K7">
        <v>49.5</v>
      </c>
      <c r="L7">
        <v>49.5</v>
      </c>
      <c r="M7">
        <v>49.5</v>
      </c>
      <c r="N7">
        <v>49.5</v>
      </c>
      <c r="O7">
        <v>49.5</v>
      </c>
      <c r="P7">
        <v>49.5</v>
      </c>
      <c r="Q7">
        <v>49.5</v>
      </c>
      <c r="R7">
        <v>49.5</v>
      </c>
      <c r="S7">
        <v>49.5</v>
      </c>
      <c r="T7">
        <v>49.5</v>
      </c>
      <c r="U7">
        <v>49.5</v>
      </c>
      <c r="V7">
        <v>49.5</v>
      </c>
      <c r="W7">
        <v>49.5</v>
      </c>
      <c r="X7">
        <v>49.5</v>
      </c>
    </row>
    <row r="8" spans="1:24" x14ac:dyDescent="0.3">
      <c r="A8" t="s">
        <v>46</v>
      </c>
      <c r="D8" t="s">
        <v>45</v>
      </c>
      <c r="E8">
        <v>9.75</v>
      </c>
      <c r="F8">
        <v>9.75</v>
      </c>
      <c r="G8">
        <v>9.75</v>
      </c>
      <c r="H8">
        <v>9.75</v>
      </c>
      <c r="I8">
        <v>9.75</v>
      </c>
      <c r="J8">
        <v>9.75</v>
      </c>
      <c r="K8">
        <v>9.75</v>
      </c>
      <c r="L8">
        <v>9.75</v>
      </c>
      <c r="M8">
        <v>9.75</v>
      </c>
      <c r="N8">
        <v>9.75</v>
      </c>
      <c r="O8">
        <v>9.75</v>
      </c>
      <c r="P8">
        <v>9.75</v>
      </c>
      <c r="Q8">
        <v>9.75</v>
      </c>
      <c r="R8">
        <v>9.75</v>
      </c>
      <c r="S8">
        <v>9.75</v>
      </c>
      <c r="T8">
        <v>9.75</v>
      </c>
      <c r="U8">
        <v>9.75</v>
      </c>
      <c r="V8">
        <v>9.75</v>
      </c>
      <c r="W8">
        <v>9.75</v>
      </c>
      <c r="X8">
        <v>9.75</v>
      </c>
    </row>
    <row r="9" spans="1:24" x14ac:dyDescent="0.3">
      <c r="A9" t="s">
        <v>47</v>
      </c>
      <c r="D9" t="s">
        <v>45</v>
      </c>
      <c r="E9">
        <v>0.2</v>
      </c>
      <c r="F9">
        <v>0.2</v>
      </c>
      <c r="G9">
        <v>0.2</v>
      </c>
      <c r="H9">
        <v>0.2</v>
      </c>
      <c r="I9">
        <v>0.2</v>
      </c>
      <c r="J9">
        <v>0.2</v>
      </c>
      <c r="K9">
        <v>0.2</v>
      </c>
      <c r="L9">
        <v>0.2</v>
      </c>
      <c r="M9">
        <v>0.2</v>
      </c>
      <c r="N9">
        <v>0.2</v>
      </c>
      <c r="O9">
        <v>0.2</v>
      </c>
      <c r="P9">
        <v>0.2</v>
      </c>
      <c r="Q9">
        <v>0.2</v>
      </c>
      <c r="R9">
        <v>0.2</v>
      </c>
      <c r="S9">
        <v>0.2</v>
      </c>
      <c r="T9">
        <v>0.2</v>
      </c>
      <c r="U9">
        <v>0.2</v>
      </c>
      <c r="V9">
        <v>0.2</v>
      </c>
      <c r="W9">
        <v>0.2</v>
      </c>
      <c r="X9">
        <v>0.2</v>
      </c>
    </row>
    <row r="10" spans="1:24" x14ac:dyDescent="0.3">
      <c r="A10" t="s">
        <v>6</v>
      </c>
      <c r="D10" t="s">
        <v>45</v>
      </c>
    </row>
    <row r="11" spans="1:24" x14ac:dyDescent="0.3">
      <c r="A11" t="s">
        <v>51</v>
      </c>
      <c r="D11" t="s">
        <v>45</v>
      </c>
    </row>
    <row r="13" spans="1:24" x14ac:dyDescent="0.3">
      <c r="A13" t="s">
        <v>4</v>
      </c>
    </row>
    <row r="14" spans="1:24" x14ac:dyDescent="0.3">
      <c r="A14" t="s">
        <v>44</v>
      </c>
      <c r="D14" t="s">
        <v>45</v>
      </c>
      <c r="E14">
        <v>47</v>
      </c>
      <c r="F14">
        <v>47</v>
      </c>
      <c r="G14">
        <v>47</v>
      </c>
      <c r="H14">
        <v>47</v>
      </c>
      <c r="I14">
        <v>47</v>
      </c>
      <c r="J14">
        <v>47</v>
      </c>
      <c r="K14">
        <v>47</v>
      </c>
      <c r="L14">
        <v>47</v>
      </c>
      <c r="M14">
        <v>47</v>
      </c>
      <c r="N14">
        <v>47</v>
      </c>
      <c r="O14">
        <v>47</v>
      </c>
      <c r="P14">
        <v>47</v>
      </c>
      <c r="Q14">
        <v>47</v>
      </c>
      <c r="R14">
        <v>47</v>
      </c>
      <c r="S14">
        <v>47</v>
      </c>
      <c r="T14">
        <v>47</v>
      </c>
      <c r="U14">
        <v>47</v>
      </c>
      <c r="V14">
        <v>47</v>
      </c>
      <c r="W14">
        <v>47</v>
      </c>
      <c r="X14">
        <v>47</v>
      </c>
    </row>
    <row r="15" spans="1:24" x14ac:dyDescent="0.3">
      <c r="A15" t="s">
        <v>46</v>
      </c>
      <c r="D15" t="s">
        <v>45</v>
      </c>
      <c r="E15">
        <v>6.45</v>
      </c>
      <c r="F15">
        <v>6.45</v>
      </c>
      <c r="G15">
        <v>6.45</v>
      </c>
      <c r="H15">
        <v>6.45</v>
      </c>
      <c r="I15">
        <v>6.45</v>
      </c>
      <c r="J15">
        <v>6.45</v>
      </c>
      <c r="K15">
        <v>6.45</v>
      </c>
      <c r="L15">
        <v>6.45</v>
      </c>
      <c r="M15">
        <v>6.45</v>
      </c>
      <c r="N15">
        <v>6.45</v>
      </c>
      <c r="O15">
        <v>6.45</v>
      </c>
      <c r="P15">
        <v>6.45</v>
      </c>
      <c r="Q15">
        <v>6.45</v>
      </c>
      <c r="R15">
        <v>6.45</v>
      </c>
      <c r="S15">
        <v>6.45</v>
      </c>
      <c r="T15">
        <v>6.45</v>
      </c>
      <c r="U15">
        <v>6.45</v>
      </c>
      <c r="V15">
        <v>6.45</v>
      </c>
      <c r="W15">
        <v>6.45</v>
      </c>
      <c r="X15">
        <v>6.45</v>
      </c>
    </row>
    <row r="16" spans="1:24" x14ac:dyDescent="0.3">
      <c r="A16" t="s">
        <v>47</v>
      </c>
      <c r="D16" t="s">
        <v>45</v>
      </c>
      <c r="E16">
        <v>0.7</v>
      </c>
      <c r="F16">
        <v>0.7</v>
      </c>
      <c r="G16">
        <v>0.7</v>
      </c>
      <c r="H16">
        <v>0.7</v>
      </c>
      <c r="I16">
        <v>0.7</v>
      </c>
      <c r="J16">
        <v>0.7</v>
      </c>
      <c r="K16">
        <v>0.7</v>
      </c>
      <c r="L16">
        <v>0.7</v>
      </c>
      <c r="M16">
        <v>0.7</v>
      </c>
      <c r="N16">
        <v>0.7</v>
      </c>
      <c r="O16">
        <v>0.7</v>
      </c>
      <c r="P16">
        <v>0.7</v>
      </c>
      <c r="Q16">
        <v>0.7</v>
      </c>
      <c r="R16">
        <v>0.7</v>
      </c>
      <c r="S16">
        <v>0.7</v>
      </c>
      <c r="T16">
        <v>0.7</v>
      </c>
      <c r="U16">
        <v>0.7</v>
      </c>
      <c r="V16">
        <v>0.7</v>
      </c>
      <c r="W16">
        <v>0.7</v>
      </c>
      <c r="X16">
        <v>0.7</v>
      </c>
    </row>
    <row r="17" spans="1:28" x14ac:dyDescent="0.3">
      <c r="A17" t="s">
        <v>6</v>
      </c>
      <c r="D17" t="s">
        <v>45</v>
      </c>
    </row>
    <row r="18" spans="1:28" x14ac:dyDescent="0.3">
      <c r="A18" t="s">
        <v>51</v>
      </c>
      <c r="D18" t="s">
        <v>45</v>
      </c>
    </row>
    <row r="20" spans="1:28" x14ac:dyDescent="0.3">
      <c r="A20" t="s">
        <v>38</v>
      </c>
    </row>
    <row r="21" spans="1:28" x14ac:dyDescent="0.3">
      <c r="A21" t="s">
        <v>44</v>
      </c>
      <c r="D21" t="s">
        <v>45</v>
      </c>
      <c r="E21">
        <v>46.5</v>
      </c>
      <c r="F21">
        <v>46.5</v>
      </c>
      <c r="G21">
        <v>46.5</v>
      </c>
      <c r="H21">
        <v>46.5</v>
      </c>
      <c r="I21">
        <v>46.5</v>
      </c>
      <c r="J21">
        <v>46.5</v>
      </c>
      <c r="K21">
        <v>46.5</v>
      </c>
      <c r="L21">
        <v>46.5</v>
      </c>
      <c r="M21">
        <v>46.5</v>
      </c>
      <c r="N21">
        <v>46.5</v>
      </c>
      <c r="O21">
        <v>46.5</v>
      </c>
      <c r="P21">
        <v>46.5</v>
      </c>
      <c r="Q21">
        <v>46.5</v>
      </c>
      <c r="R21">
        <v>46.5</v>
      </c>
      <c r="S21">
        <v>46.5</v>
      </c>
      <c r="T21">
        <v>46.5</v>
      </c>
      <c r="U21">
        <v>46.5</v>
      </c>
      <c r="V21">
        <v>46.5</v>
      </c>
      <c r="W21">
        <v>46.5</v>
      </c>
      <c r="X21">
        <v>46.5</v>
      </c>
    </row>
    <row r="22" spans="1:28" x14ac:dyDescent="0.3">
      <c r="A22" t="s">
        <v>46</v>
      </c>
      <c r="D22" t="s">
        <v>45</v>
      </c>
    </row>
    <row r="23" spans="1:28" x14ac:dyDescent="0.3">
      <c r="A23" t="s">
        <v>52</v>
      </c>
      <c r="D23" t="s">
        <v>45</v>
      </c>
      <c r="E23">
        <v>1.35</v>
      </c>
      <c r="F23">
        <v>1.35</v>
      </c>
      <c r="G23">
        <v>1.35</v>
      </c>
      <c r="H23">
        <v>1.35</v>
      </c>
      <c r="I23">
        <v>1.35</v>
      </c>
      <c r="J23">
        <v>1.35</v>
      </c>
      <c r="K23">
        <v>1.35</v>
      </c>
      <c r="L23">
        <v>1.35</v>
      </c>
      <c r="M23">
        <v>1.35</v>
      </c>
      <c r="N23">
        <v>1.35</v>
      </c>
      <c r="O23">
        <v>1.35</v>
      </c>
      <c r="P23">
        <v>1.35</v>
      </c>
      <c r="Q23">
        <v>1.35</v>
      </c>
      <c r="R23">
        <v>1.35</v>
      </c>
      <c r="S23">
        <v>1.35</v>
      </c>
      <c r="T23">
        <v>1.35</v>
      </c>
      <c r="U23">
        <v>1.35</v>
      </c>
      <c r="V23">
        <v>1.35</v>
      </c>
      <c r="W23">
        <v>1.35</v>
      </c>
      <c r="X23">
        <v>1.35</v>
      </c>
    </row>
    <row r="24" spans="1:28" x14ac:dyDescent="0.3">
      <c r="A24" t="s">
        <v>6</v>
      </c>
      <c r="D24" t="s">
        <v>45</v>
      </c>
    </row>
    <row r="25" spans="1:28" x14ac:dyDescent="0.3">
      <c r="A25" t="s">
        <v>51</v>
      </c>
      <c r="D25" t="s">
        <v>45</v>
      </c>
    </row>
    <row r="27" spans="1:28" x14ac:dyDescent="0.3">
      <c r="A27" s="2" t="s">
        <v>37</v>
      </c>
    </row>
    <row r="28" spans="1:28" x14ac:dyDescent="0.3">
      <c r="A28" t="s">
        <v>53</v>
      </c>
      <c r="D28" t="s">
        <v>62</v>
      </c>
      <c r="E28">
        <f>(2000+E30)*C34*C33*0.0075</f>
        <v>43841.25</v>
      </c>
      <c r="F28" s="4">
        <f>(2000+SUM(E30:F30))*C34*C33*0.0075</f>
        <v>47182.5</v>
      </c>
      <c r="G28">
        <f>(2000+SUM(E30:G30))*C34*C33*0.0075</f>
        <v>50523.75</v>
      </c>
      <c r="H28" s="4">
        <f>(2000+SUM(E30:H30))*C34*C33*0.0075</f>
        <v>53865</v>
      </c>
      <c r="I28">
        <f>(2000+SUM(E30:I30))*C34*C33*0.0075</f>
        <v>57206.25</v>
      </c>
      <c r="J28" s="4">
        <f>(2000+SUM(E30:J30))*C34*C33*0.0075</f>
        <v>60547.5</v>
      </c>
      <c r="K28">
        <f>(2000+SUM(E30:K30))*C34*C33*0.0075</f>
        <v>63888.75</v>
      </c>
      <c r="L28" s="4">
        <f>(2000+SUM(E30:L30))*C34*C33*0.0075</f>
        <v>67230</v>
      </c>
      <c r="M28">
        <f>(2000+SUM(E30:M30))*C34*C33*0.0075</f>
        <v>70571.25</v>
      </c>
      <c r="N28" s="4">
        <f>(2000+SUM(E30:N30))*C34*C33*0.0075</f>
        <v>73912.5</v>
      </c>
      <c r="O28">
        <f>(2000+SUM(E30:O30))*C34*C33*0.0075</f>
        <v>77253.75</v>
      </c>
      <c r="P28" s="4">
        <f>(2000+SUM(E30:P30))*C34*C33*0.0075</f>
        <v>80595</v>
      </c>
      <c r="Q28">
        <f>(2000+SUM(E30:Q30))*C34*C33*0.0075</f>
        <v>83936.25</v>
      </c>
      <c r="R28" s="4">
        <f>(2000+SUM(E30:R30))*C34*C33*0.0075</f>
        <v>87277.5</v>
      </c>
      <c r="S28">
        <f>(2000+SUM(E30:S30))*C34*C33*0.0075</f>
        <v>90618.75</v>
      </c>
      <c r="T28" s="4">
        <f>(2000+SUM(E30:T30))*C34*C33*0.0075</f>
        <v>93960</v>
      </c>
      <c r="U28">
        <f>(2000+SUM(E30:U30))*C34*C33*0.0075</f>
        <v>97301.25</v>
      </c>
      <c r="V28">
        <f>(2000+SUM(E30:V30))*C34*C33*0.0075</f>
        <v>100642.5</v>
      </c>
      <c r="W28">
        <f>(2000+SUM(E30:W30))*C34*C33*0.0075</f>
        <v>103983.75</v>
      </c>
      <c r="X28">
        <f>(2000+SUM(E30:X30))*C34*C33*0.0075</f>
        <v>107325</v>
      </c>
      <c r="Z28" t="s">
        <v>51</v>
      </c>
      <c r="AA28" s="7">
        <f>SUM(E28:X28)/1000</f>
        <v>1511.6624999999999</v>
      </c>
      <c r="AB28" t="s">
        <v>7</v>
      </c>
    </row>
    <row r="29" spans="1:28" x14ac:dyDescent="0.3">
      <c r="A29" t="s">
        <v>54</v>
      </c>
      <c r="D29" t="s">
        <v>45</v>
      </c>
      <c r="E29">
        <f>E28/C31*E32/1000000</f>
        <v>1.1124717187499999</v>
      </c>
      <c r="F29" s="5">
        <f>F28/C31*F32/1000000</f>
        <v>1.2152147765624999</v>
      </c>
      <c r="G29" s="26">
        <f>G28/C31*G32/1000000</f>
        <v>1.3207898199726558</v>
      </c>
      <c r="H29" s="26">
        <f>H28/C31*H32/1000000</f>
        <v>1.4292586913603897</v>
      </c>
      <c r="I29" s="26">
        <f>I28/C31*I32/1000000</f>
        <v>1.5406844511802622</v>
      </c>
      <c r="J29" s="26">
        <f>J28/C31*J32/1000000</f>
        <v>1.6551314005891749</v>
      </c>
      <c r="K29" s="26">
        <f>K28/C31*K32/1000000</f>
        <v>1.7726651044788391</v>
      </c>
      <c r="L29" s="26">
        <f>L28/C31*L32/1000000</f>
        <v>1.8933524149200607</v>
      </c>
      <c r="M29" s="26">
        <f>M28/C31*M32/1000000</f>
        <v>2.0172614950260108</v>
      </c>
      <c r="N29" s="26">
        <f>N28/C31*N32/1000000</f>
        <v>2.1444618432417828</v>
      </c>
      <c r="O29" s="26">
        <f>O28/C31*O32/1000000</f>
        <v>2.2750243180676475</v>
      </c>
      <c r="P29" s="26">
        <f>P28/C31*P32/1000000</f>
        <v>2.4090211632235583</v>
      </c>
      <c r="Q29" s="26">
        <f>Q28/C31*Q32/1000000</f>
        <v>2.5465260332625808</v>
      </c>
      <c r="R29" s="26">
        <f>R28/C31*R32/1000000</f>
        <v>2.6876140196410492</v>
      </c>
      <c r="S29" s="26">
        <f>S28/C31*S32/1000000</f>
        <v>2.8323616772533868</v>
      </c>
      <c r="T29" s="26">
        <f>T28/C31*T32/1000000</f>
        <v>2.9808470514396759</v>
      </c>
      <c r="U29" s="26">
        <f>U28/C31*U32/1000000</f>
        <v>3.1331497054741719</v>
      </c>
      <c r="V29" s="26">
        <f>V28/C31*V32/1000000</f>
        <v>3.2893507485431277</v>
      </c>
      <c r="W29" s="26">
        <f>W28/C31*W32/1000000</f>
        <v>3.4495328642204219</v>
      </c>
      <c r="X29" s="26">
        <f>X28/C31*X32/1000000</f>
        <v>3.6137803394496117</v>
      </c>
      <c r="Z29" t="s">
        <v>51</v>
      </c>
      <c r="AA29" s="4">
        <f>SUM(E29:X29)</f>
        <v>45.31849963665691</v>
      </c>
      <c r="AB29" t="s">
        <v>45</v>
      </c>
    </row>
    <row r="30" spans="1:28" x14ac:dyDescent="0.3">
      <c r="A30" t="s">
        <v>55</v>
      </c>
      <c r="D30" t="s">
        <v>12</v>
      </c>
      <c r="E30">
        <v>165</v>
      </c>
      <c r="F30">
        <v>165</v>
      </c>
      <c r="G30">
        <v>165</v>
      </c>
      <c r="H30">
        <v>165</v>
      </c>
      <c r="I30">
        <v>165</v>
      </c>
      <c r="J30">
        <v>165</v>
      </c>
      <c r="K30">
        <v>165</v>
      </c>
      <c r="L30">
        <v>165</v>
      </c>
      <c r="M30">
        <v>165</v>
      </c>
      <c r="N30">
        <v>165</v>
      </c>
      <c r="O30">
        <v>165</v>
      </c>
      <c r="P30">
        <v>165</v>
      </c>
      <c r="Q30">
        <v>165</v>
      </c>
      <c r="R30">
        <v>165</v>
      </c>
      <c r="S30">
        <v>165</v>
      </c>
      <c r="T30">
        <v>165</v>
      </c>
      <c r="U30">
        <v>165</v>
      </c>
      <c r="V30">
        <v>165</v>
      </c>
      <c r="W30">
        <v>165</v>
      </c>
      <c r="X30">
        <v>165</v>
      </c>
    </row>
    <row r="31" spans="1:28" x14ac:dyDescent="0.3">
      <c r="A31" t="s">
        <v>58</v>
      </c>
      <c r="C31">
        <v>0.9</v>
      </c>
    </row>
    <row r="32" spans="1:28" x14ac:dyDescent="0.3">
      <c r="A32" t="s">
        <v>93</v>
      </c>
      <c r="D32" s="3" t="s">
        <v>16</v>
      </c>
      <c r="E32" s="6">
        <f>22.5*1.015</f>
        <v>22.837499999999999</v>
      </c>
      <c r="F32" s="25">
        <f t="shared" ref="F32:X32" si="0">E32*1.015</f>
        <v>23.180062499999995</v>
      </c>
      <c r="G32" s="26">
        <f t="shared" si="0"/>
        <v>23.527763437499992</v>
      </c>
      <c r="H32" s="26">
        <f t="shared" si="0"/>
        <v>23.880679889062488</v>
      </c>
      <c r="I32" s="26">
        <f t="shared" si="0"/>
        <v>24.238890087398424</v>
      </c>
      <c r="J32" s="26">
        <f t="shared" si="0"/>
        <v>24.602473438709399</v>
      </c>
      <c r="K32" s="26">
        <f t="shared" si="0"/>
        <v>24.971510540290037</v>
      </c>
      <c r="L32" s="26">
        <f t="shared" si="0"/>
        <v>25.346083198394386</v>
      </c>
      <c r="M32" s="26">
        <f t="shared" si="0"/>
        <v>25.726274446370297</v>
      </c>
      <c r="N32" s="26">
        <f t="shared" si="0"/>
        <v>26.11216856306585</v>
      </c>
      <c r="O32" s="26">
        <f t="shared" si="0"/>
        <v>26.503851091511837</v>
      </c>
      <c r="P32" s="26">
        <f t="shared" si="0"/>
        <v>26.901408857884512</v>
      </c>
      <c r="Q32" s="26">
        <f t="shared" si="0"/>
        <v>27.304929990752775</v>
      </c>
      <c r="R32" s="26">
        <f t="shared" si="0"/>
        <v>27.714503940614065</v>
      </c>
      <c r="S32" s="26">
        <f t="shared" si="0"/>
        <v>28.130221499723273</v>
      </c>
      <c r="T32" s="26">
        <f t="shared" si="0"/>
        <v>28.552174822219119</v>
      </c>
      <c r="U32" s="26">
        <f t="shared" si="0"/>
        <v>28.980457444552403</v>
      </c>
      <c r="V32" s="26">
        <f t="shared" si="0"/>
        <v>29.415164306220685</v>
      </c>
      <c r="W32" s="26">
        <f t="shared" si="0"/>
        <v>29.856391770813993</v>
      </c>
      <c r="X32" s="26">
        <f t="shared" si="0"/>
        <v>30.304237647376201</v>
      </c>
    </row>
    <row r="33" spans="1:28" x14ac:dyDescent="0.3">
      <c r="A33" t="s">
        <v>60</v>
      </c>
      <c r="C33">
        <v>0.6</v>
      </c>
    </row>
    <row r="34" spans="1:28" x14ac:dyDescent="0.3">
      <c r="A34" t="s">
        <v>61</v>
      </c>
      <c r="C34">
        <v>4500</v>
      </c>
    </row>
    <row r="35" spans="1:28" x14ac:dyDescent="0.3">
      <c r="A35" t="s">
        <v>91</v>
      </c>
      <c r="B35">
        <v>22.5</v>
      </c>
      <c r="D35" t="s">
        <v>57</v>
      </c>
    </row>
    <row r="36" spans="1:28" x14ac:dyDescent="0.3">
      <c r="A36" t="s">
        <v>65</v>
      </c>
      <c r="D36" t="s">
        <v>62</v>
      </c>
      <c r="E36">
        <f>(200+E38)*0.03*4500/C31</f>
        <v>34875</v>
      </c>
      <c r="F36" s="7">
        <f>(200+SUM(E38:F38))*0.03*4500/C31</f>
        <v>39750</v>
      </c>
      <c r="G36" s="7">
        <f>(200+SUM(E38:G38))*0.03*4500/C31</f>
        <v>44624.999999999993</v>
      </c>
      <c r="H36">
        <f>(200+SUM(E38:H38))*0.03*4500/C31</f>
        <v>49500</v>
      </c>
      <c r="I36">
        <f>(200+SUM(E38:I38))*0.03*4500/C31</f>
        <v>54375</v>
      </c>
      <c r="J36">
        <f>(200+SUM(E38:J38))*0.03*4500/C31</f>
        <v>59250</v>
      </c>
      <c r="K36">
        <f>(200+SUM(E38:K38))*0.03*4500/C31</f>
        <v>64125</v>
      </c>
      <c r="L36">
        <f>(200+SUM(E38:L38))*0.03*4500/C31</f>
        <v>68999.999999999985</v>
      </c>
      <c r="M36">
        <f>(200+SUM(E38:M38))*0.03*4500/C31</f>
        <v>73875</v>
      </c>
      <c r="N36">
        <f>(200+SUM(E38:N38))*0.03*4500/C31</f>
        <v>78750</v>
      </c>
      <c r="O36">
        <f>(200+SUM(E38:O38))*0.03*4500/C31</f>
        <v>83624.999999999985</v>
      </c>
      <c r="P36">
        <f>(200+SUM(E38:P38))*0.03*4500/C31</f>
        <v>88500</v>
      </c>
      <c r="Q36">
        <f>(200+SUM(E38:Q38))*0.03*4500/C31</f>
        <v>93375</v>
      </c>
      <c r="R36">
        <f>(200+SUM(E38:R38))*0.03*4500/C31</f>
        <v>98250</v>
      </c>
      <c r="S36">
        <f>(200+SUM(E38:S38))*0.03*4500/C31</f>
        <v>103125</v>
      </c>
      <c r="T36">
        <f>(200+SUM(E38:T38))*0.03*4500/C31</f>
        <v>107999.99999999999</v>
      </c>
      <c r="U36">
        <f>(200+SUM(E38:U38))*0.03*4500/C31</f>
        <v>112875</v>
      </c>
      <c r="V36">
        <f>(200+SUM(E38:V38))*0.03*4500/C31</f>
        <v>117750</v>
      </c>
      <c r="W36">
        <f>(200+SUM(E38:W38))*0.03*4500/C31</f>
        <v>122625</v>
      </c>
      <c r="X36">
        <f>(200+SUM(E38:X38))*0.03*4500/C31</f>
        <v>127500</v>
      </c>
      <c r="Z36" t="s">
        <v>51</v>
      </c>
      <c r="AA36" s="7">
        <f>SUM(E36:X36)/1000</f>
        <v>1623.75</v>
      </c>
      <c r="AB36" t="s">
        <v>7</v>
      </c>
    </row>
    <row r="37" spans="1:28" x14ac:dyDescent="0.3">
      <c r="A37" t="s">
        <v>54</v>
      </c>
      <c r="D37" t="s">
        <v>45</v>
      </c>
      <c r="E37">
        <f t="shared" ref="E37:X37" si="1">E36*E32/1000000</f>
        <v>0.79645781250000003</v>
      </c>
      <c r="F37" s="26">
        <f t="shared" si="1"/>
        <v>0.92140748437499975</v>
      </c>
      <c r="G37" s="8">
        <f t="shared" si="1"/>
        <v>1.049926443398437</v>
      </c>
      <c r="H37" s="26">
        <f t="shared" si="1"/>
        <v>1.1820936545085932</v>
      </c>
      <c r="I37" s="26">
        <f t="shared" si="1"/>
        <v>1.3179896485022893</v>
      </c>
      <c r="J37" s="26">
        <f t="shared" si="1"/>
        <v>1.457696551243532</v>
      </c>
      <c r="K37" s="26">
        <f t="shared" si="1"/>
        <v>1.6012981133960986</v>
      </c>
      <c r="L37" s="26">
        <f t="shared" si="1"/>
        <v>1.7488797406892123</v>
      </c>
      <c r="M37" s="26">
        <f t="shared" si="1"/>
        <v>1.9005285247256056</v>
      </c>
      <c r="N37" s="26">
        <f t="shared" si="1"/>
        <v>2.0563332743414358</v>
      </c>
      <c r="O37" s="26">
        <f t="shared" si="1"/>
        <v>2.2163845475276771</v>
      </c>
      <c r="P37" s="26">
        <f t="shared" si="1"/>
        <v>2.3807746839227795</v>
      </c>
      <c r="Q37" s="26">
        <f t="shared" si="1"/>
        <v>2.54959783788654</v>
      </c>
      <c r="R37" s="26">
        <f t="shared" si="1"/>
        <v>2.7229500121653318</v>
      </c>
      <c r="S37" s="26">
        <f t="shared" si="1"/>
        <v>2.9009290921589623</v>
      </c>
      <c r="T37" s="26">
        <f t="shared" si="1"/>
        <v>3.0836348807996643</v>
      </c>
      <c r="U37" s="26">
        <f t="shared" si="1"/>
        <v>3.2711691340538525</v>
      </c>
      <c r="V37" s="26">
        <f t="shared" si="1"/>
        <v>3.4636355970574857</v>
      </c>
      <c r="W37" s="26">
        <f t="shared" si="1"/>
        <v>3.6611400408960662</v>
      </c>
      <c r="X37" s="26">
        <f t="shared" si="1"/>
        <v>3.8637903000404656</v>
      </c>
      <c r="Z37" t="s">
        <v>51</v>
      </c>
      <c r="AA37" s="4">
        <f>SUM(E37:X37)</f>
        <v>44.14661737418902</v>
      </c>
      <c r="AB37" t="s">
        <v>45</v>
      </c>
    </row>
    <row r="38" spans="1:28" x14ac:dyDescent="0.3">
      <c r="A38" t="s">
        <v>66</v>
      </c>
      <c r="D38" t="s">
        <v>9</v>
      </c>
      <c r="E38">
        <v>32.5</v>
      </c>
      <c r="F38">
        <v>32.5</v>
      </c>
      <c r="G38">
        <v>32.5</v>
      </c>
      <c r="H38">
        <v>32.5</v>
      </c>
      <c r="I38">
        <v>32.5</v>
      </c>
      <c r="J38">
        <v>32.5</v>
      </c>
      <c r="K38">
        <v>32.5</v>
      </c>
      <c r="L38">
        <v>32.5</v>
      </c>
      <c r="M38">
        <v>32.5</v>
      </c>
      <c r="N38">
        <v>32.5</v>
      </c>
      <c r="O38">
        <v>32.5</v>
      </c>
      <c r="P38">
        <v>32.5</v>
      </c>
      <c r="Q38">
        <v>32.5</v>
      </c>
      <c r="R38">
        <v>32.5</v>
      </c>
      <c r="S38">
        <v>32.5</v>
      </c>
      <c r="T38">
        <v>32.5</v>
      </c>
      <c r="U38">
        <v>32.5</v>
      </c>
      <c r="V38">
        <v>32.5</v>
      </c>
      <c r="W38">
        <v>32.5</v>
      </c>
      <c r="X38">
        <v>32.5</v>
      </c>
    </row>
    <row r="39" spans="1:28" x14ac:dyDescent="0.3">
      <c r="A39" t="s">
        <v>67</v>
      </c>
      <c r="C39" t="s">
        <v>68</v>
      </c>
    </row>
    <row r="40" spans="1:28" x14ac:dyDescent="0.3">
      <c r="A40" t="s">
        <v>6</v>
      </c>
      <c r="D40" t="s">
        <v>7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</row>
    <row r="41" spans="1:28" x14ac:dyDescent="0.3">
      <c r="A41" t="s">
        <v>81</v>
      </c>
      <c r="D41" t="s">
        <v>7</v>
      </c>
      <c r="E41">
        <f>(70+1)/0.85*0.15</f>
        <v>12.529411764705882</v>
      </c>
      <c r="F41">
        <f>(70+SUM(E40:F40))/0.85*0.15</f>
        <v>12.705882352941176</v>
      </c>
      <c r="G41">
        <f>(70+SUM(E40:G40))/0.85*0.15</f>
        <v>12.882352941176471</v>
      </c>
      <c r="H41">
        <f>(70+SUM(E40:H40))/0.85*0.15</f>
        <v>13.058823529411764</v>
      </c>
      <c r="I41">
        <f>(70+SUM(E40:I40))/0.85*0.15</f>
        <v>13.235294117647058</v>
      </c>
      <c r="J41">
        <f>(70+SUM(E40:J40))/0.85*0.15</f>
        <v>13.411764705882353</v>
      </c>
      <c r="K41">
        <f>(70+SUM(E40:K40))/0.85*0.15</f>
        <v>13.588235294117647</v>
      </c>
      <c r="L41">
        <f>(70+SUM(E40:L40))/0.85*0.15</f>
        <v>13.76470588235294</v>
      </c>
      <c r="M41">
        <f>(70+SUM(E40:M40))/0.85*0.15</f>
        <v>13.941176470588234</v>
      </c>
      <c r="N41">
        <f>(70+SUM(E40:N40))/0.85*0.15</f>
        <v>14.117647058823531</v>
      </c>
      <c r="O41">
        <f>(70+SUM(E40:O40))/0.85*0.15</f>
        <v>14.294117647058824</v>
      </c>
      <c r="P41">
        <f>(70+SUM(E40:P40))/0.85*0.15</f>
        <v>14.470588235294116</v>
      </c>
      <c r="Q41">
        <f>(70+SUM(E40:Q40))/0.85*0.15</f>
        <v>14.647058823529413</v>
      </c>
      <c r="R41">
        <f>(70+SUM(E40:R40))/0.85*0.15</f>
        <v>14.823529411764707</v>
      </c>
      <c r="S41">
        <f>(70+SUM(E40:S40))/0.85*0.15</f>
        <v>15</v>
      </c>
      <c r="T41">
        <f>(70+SUM(E40:T40))/0.85*0.15</f>
        <v>15.176470588235293</v>
      </c>
      <c r="U41">
        <f>(70+SUM(E40:U40))/0.85*0.15</f>
        <v>15.352941176470589</v>
      </c>
      <c r="V41">
        <f>(70+SUM(E40:V40))/0.85*0.15</f>
        <v>15.529411764705882</v>
      </c>
      <c r="W41">
        <f>(70+SUM(E40:W40))/0.85*0.15</f>
        <v>15.705882352941176</v>
      </c>
      <c r="X41">
        <f>(70+SUM(E40:X40))/0.85*0.15</f>
        <v>15.882352941176471</v>
      </c>
      <c r="Z41" t="s">
        <v>51</v>
      </c>
      <c r="AA41" s="7">
        <f>SUM(E41:X41)</f>
        <v>284.11764705882348</v>
      </c>
      <c r="AB41" t="s">
        <v>7</v>
      </c>
    </row>
    <row r="42" spans="1:28" x14ac:dyDescent="0.3">
      <c r="A42" t="s">
        <v>82</v>
      </c>
    </row>
    <row r="43" spans="1:28" x14ac:dyDescent="0.3">
      <c r="A43" t="s">
        <v>83</v>
      </c>
      <c r="D43" t="s">
        <v>45</v>
      </c>
      <c r="E43">
        <f>E41/C31*E32/1000</f>
        <v>0.31793382352941174</v>
      </c>
      <c r="F43" s="26">
        <f>F41/C31*F32/1000</f>
        <v>0.32724794117647049</v>
      </c>
      <c r="G43" s="26">
        <f>G41/C31*G32/1000</f>
        <v>0.33676994724264692</v>
      </c>
      <c r="H43" s="26">
        <f>H41/C31*H32/1000</f>
        <v>0.34650398270404392</v>
      </c>
      <c r="I43" s="26">
        <f>I41/C31*I32/1000</f>
        <v>0.35645426599115326</v>
      </c>
      <c r="J43" s="26">
        <f>J41/C31*J32/1000</f>
        <v>0.36662509438076751</v>
      </c>
      <c r="K43" s="26">
        <f>K41/C31*K32/1000</f>
        <v>0.37702084541222214</v>
      </c>
      <c r="L43" s="26">
        <f>L41/C31*L32/1000</f>
        <v>0.38764597832838465</v>
      </c>
      <c r="M43" s="26">
        <f>M41/C31*M32/1000</f>
        <v>0.39850503554181438</v>
      </c>
      <c r="N43" s="26">
        <f>N41/C31*N32/1000</f>
        <v>0.40960264412652314</v>
      </c>
      <c r="O43" s="26">
        <f>O41/C31*O32/1000</f>
        <v>0.42094351733577628</v>
      </c>
      <c r="P43" s="26">
        <f>P41/C31*P32/1000</f>
        <v>0.43253245614637831</v>
      </c>
      <c r="Q43" s="26">
        <f>Q41/C31*Q32/1000</f>
        <v>0.44437435082989818</v>
      </c>
      <c r="R43" s="26">
        <f>R41/C31*R32/1000</f>
        <v>0.45647418255129052</v>
      </c>
      <c r="S43" s="26">
        <f>S41/C31*S32/1000</f>
        <v>0.46883702499538793</v>
      </c>
      <c r="T43" s="26">
        <f>T41/C31*T32/1000</f>
        <v>0.48146804602173415</v>
      </c>
      <c r="U43" s="26">
        <f>U41/C31*U32/1000</f>
        <v>0.49437250934824689</v>
      </c>
      <c r="V43" s="26">
        <f>V41/C31*V32/1000</f>
        <v>0.50755577626420001</v>
      </c>
      <c r="W43" s="26">
        <f>W41/C31*W32/1000</f>
        <v>0.52102330737302849</v>
      </c>
      <c r="X43" s="26">
        <f>X41/C31*X32/1000</f>
        <v>0.53478066436546234</v>
      </c>
      <c r="Z43" t="s">
        <v>51</v>
      </c>
      <c r="AA43" s="4">
        <f>SUM(E43:X43)</f>
        <v>8.3866713936648409</v>
      </c>
      <c r="AB43" t="s">
        <v>45</v>
      </c>
    </row>
    <row r="45" spans="1:28" x14ac:dyDescent="0.3">
      <c r="A45" s="16" t="s">
        <v>4</v>
      </c>
    </row>
    <row r="46" spans="1:28" x14ac:dyDescent="0.3">
      <c r="A46" t="s">
        <v>53</v>
      </c>
      <c r="D46" t="s">
        <v>62</v>
      </c>
      <c r="E46">
        <f>(2000+E48)*C52*C51*0.0075</f>
        <v>43740</v>
      </c>
      <c r="F46" s="4">
        <f>(2000+SUM(E48:F48))*C52*C51*0.0075</f>
        <v>46980</v>
      </c>
      <c r="G46">
        <f>(2000+SUM(E48:G48))*C52*C51*0.0075</f>
        <v>50220</v>
      </c>
      <c r="H46" s="4">
        <f>(2000+SUM(E48:H48))*C52*C51*0.0075</f>
        <v>53460</v>
      </c>
      <c r="I46">
        <f>(2000+SUM(E48:I48))*C52*C51*0.0075</f>
        <v>56700</v>
      </c>
      <c r="J46" s="4">
        <f>(2000+SUM(E48:J48))*C52*C51*0.0075</f>
        <v>59940</v>
      </c>
      <c r="K46">
        <f>(2000+SUM(E48:K48))*C52*C51*0.0075</f>
        <v>63180</v>
      </c>
      <c r="L46" s="4">
        <f>(2000+SUM(E48:L48))*C52*C51*0.0075</f>
        <v>66420</v>
      </c>
      <c r="M46">
        <f>(2000+SUM(E48:M48))*C52*C51*0.0075</f>
        <v>69660</v>
      </c>
      <c r="N46" s="4">
        <f>(2000+SUM(E48:N48))*C52*C51*0.0075</f>
        <v>72900</v>
      </c>
      <c r="O46">
        <f>(2000+SUM(E48:O48))*C52*C51*0.0075</f>
        <v>76140</v>
      </c>
      <c r="P46" s="4">
        <f>(2000+SUM(E48:P48))*C52*C51*0.0075</f>
        <v>79380</v>
      </c>
      <c r="Q46">
        <f>(2000+SUM(E48:Q48))*C52*C51*0.0075</f>
        <v>82620</v>
      </c>
      <c r="R46" s="4">
        <f>(2000+SUM(E48:R48))*C52*C51*0.0075</f>
        <v>85860</v>
      </c>
      <c r="S46">
        <f>(2000+SUM(E48:S48))*C52*C51*0.0075</f>
        <v>89100</v>
      </c>
      <c r="T46" s="4">
        <f>(2000+SUM(E48:T48))*C52*C51*0.0075</f>
        <v>92340</v>
      </c>
      <c r="U46">
        <f>(2000+SUM(E48:U48))*C52*C51*0.0075</f>
        <v>95580</v>
      </c>
      <c r="V46">
        <f>(2000+SUM(E48:V48))*C52*C51*0.0075</f>
        <v>98820</v>
      </c>
      <c r="W46">
        <f>(2000+SUM(E48:W48))*C52*C51*0.0075</f>
        <v>102060</v>
      </c>
      <c r="X46">
        <f>(2000+SUM(E48:X48))*C52*C51*0.0075</f>
        <v>105300</v>
      </c>
      <c r="Z46" t="s">
        <v>51</v>
      </c>
      <c r="AA46" s="7">
        <f>SUM(E46:X46)/1000</f>
        <v>1490.4</v>
      </c>
      <c r="AB46" t="s">
        <v>7</v>
      </c>
    </row>
    <row r="47" spans="1:28" x14ac:dyDescent="0.3">
      <c r="A47" t="s">
        <v>54</v>
      </c>
      <c r="D47" t="s">
        <v>45</v>
      </c>
      <c r="E47">
        <f>E46/C49*E50/1000000</f>
        <v>1.1099025</v>
      </c>
      <c r="F47" s="5">
        <f>F46/C49*F50/1000000</f>
        <v>1.2099992624999998</v>
      </c>
      <c r="G47" s="26">
        <f>G46/C49*G50/1000000</f>
        <v>1.3128491998124996</v>
      </c>
      <c r="H47" s="26">
        <f>H46/C49*H50/1000000</f>
        <v>1.4185123854103119</v>
      </c>
      <c r="I47" s="26">
        <f>I46/C49*I50/1000000</f>
        <v>1.5270500755061007</v>
      </c>
      <c r="J47" s="26">
        <f>J46/C49*J50/1000000</f>
        <v>1.638524731018046</v>
      </c>
      <c r="K47" s="26">
        <f>K46/C49*K50/1000000</f>
        <v>1.7530000399283605</v>
      </c>
      <c r="L47" s="26">
        <f>L46/C49*L50/1000000</f>
        <v>1.8705409400415058</v>
      </c>
      <c r="M47" s="26">
        <f>M46/C49*M50/1000000</f>
        <v>1.9912136421490609</v>
      </c>
      <c r="N47" s="26">
        <f>N46/C49*N50/1000000</f>
        <v>2.1150856536083338</v>
      </c>
      <c r="O47" s="26">
        <f>O46/C49*O50/1000000</f>
        <v>2.2422258023419013</v>
      </c>
      <c r="P47" s="26">
        <f>P46/C49*P50/1000000</f>
        <v>2.3727042612654139</v>
      </c>
      <c r="Q47" s="26">
        <f>Q46/C49*Q50/1000000</f>
        <v>2.5065925731511047</v>
      </c>
      <c r="R47" s="26">
        <f>R46/C49*R50/1000000</f>
        <v>2.6439636759345819</v>
      </c>
      <c r="S47" s="26">
        <f>S46/C49*S50/1000000</f>
        <v>2.7848919284726041</v>
      </c>
      <c r="T47" s="26">
        <f>T46/C49*T50/1000000</f>
        <v>2.9294531367596814</v>
      </c>
      <c r="U47" s="26">
        <f>U46/C49*U50/1000000</f>
        <v>3.077724580611465</v>
      </c>
      <c r="V47" s="26">
        <f>V46/C49*V50/1000000</f>
        <v>3.2297850408230313</v>
      </c>
      <c r="W47" s="26">
        <f>W46/C49*W50/1000000</f>
        <v>3.385714826810307</v>
      </c>
      <c r="X47" s="26">
        <f>X46/C49*X50/1000000</f>
        <v>3.5455958047430158</v>
      </c>
      <c r="Z47" t="s">
        <v>51</v>
      </c>
      <c r="AA47" s="4">
        <f>SUM(E47:X47)</f>
        <v>44.665330060887328</v>
      </c>
      <c r="AB47" t="s">
        <v>45</v>
      </c>
    </row>
    <row r="48" spans="1:28" x14ac:dyDescent="0.3">
      <c r="A48" t="s">
        <v>55</v>
      </c>
      <c r="D48" t="s">
        <v>12</v>
      </c>
      <c r="E48">
        <v>160</v>
      </c>
      <c r="F48">
        <v>160</v>
      </c>
      <c r="G48">
        <v>160</v>
      </c>
      <c r="H48">
        <v>160</v>
      </c>
      <c r="I48">
        <v>160</v>
      </c>
      <c r="J48">
        <v>160</v>
      </c>
      <c r="K48">
        <v>160</v>
      </c>
      <c r="L48">
        <v>160</v>
      </c>
      <c r="M48">
        <v>160</v>
      </c>
      <c r="N48">
        <v>160</v>
      </c>
      <c r="O48">
        <v>160</v>
      </c>
      <c r="P48">
        <v>160</v>
      </c>
      <c r="Q48">
        <v>160</v>
      </c>
      <c r="R48">
        <v>160</v>
      </c>
      <c r="S48">
        <v>160</v>
      </c>
      <c r="T48">
        <v>160</v>
      </c>
      <c r="U48">
        <v>160</v>
      </c>
      <c r="V48">
        <v>160</v>
      </c>
      <c r="W48">
        <v>160</v>
      </c>
      <c r="X48">
        <v>160</v>
      </c>
    </row>
    <row r="49" spans="1:28" x14ac:dyDescent="0.3">
      <c r="A49" t="s">
        <v>58</v>
      </c>
      <c r="C49">
        <v>0.9</v>
      </c>
    </row>
    <row r="50" spans="1:28" x14ac:dyDescent="0.3">
      <c r="A50" t="s">
        <v>93</v>
      </c>
      <c r="D50" s="3" t="s">
        <v>16</v>
      </c>
      <c r="E50" s="6">
        <f>22.5*1.015</f>
        <v>22.837499999999999</v>
      </c>
      <c r="F50" s="25">
        <f t="shared" ref="F50:X50" si="2">E50*1.015</f>
        <v>23.180062499999995</v>
      </c>
      <c r="G50" s="26">
        <f t="shared" si="2"/>
        <v>23.527763437499992</v>
      </c>
      <c r="H50" s="26">
        <f t="shared" si="2"/>
        <v>23.880679889062488</v>
      </c>
      <c r="I50" s="26">
        <f t="shared" si="2"/>
        <v>24.238890087398424</v>
      </c>
      <c r="J50" s="26">
        <f t="shared" si="2"/>
        <v>24.602473438709399</v>
      </c>
      <c r="K50" s="26">
        <f t="shared" si="2"/>
        <v>24.971510540290037</v>
      </c>
      <c r="L50" s="26">
        <f t="shared" si="2"/>
        <v>25.346083198394386</v>
      </c>
      <c r="M50" s="26">
        <f t="shared" si="2"/>
        <v>25.726274446370297</v>
      </c>
      <c r="N50" s="26">
        <f t="shared" si="2"/>
        <v>26.11216856306585</v>
      </c>
      <c r="O50" s="26">
        <f t="shared" si="2"/>
        <v>26.503851091511837</v>
      </c>
      <c r="P50" s="26">
        <f t="shared" si="2"/>
        <v>26.901408857884512</v>
      </c>
      <c r="Q50" s="26">
        <f t="shared" si="2"/>
        <v>27.304929990752775</v>
      </c>
      <c r="R50" s="26">
        <f t="shared" si="2"/>
        <v>27.714503940614065</v>
      </c>
      <c r="S50" s="26">
        <f t="shared" si="2"/>
        <v>28.130221499723273</v>
      </c>
      <c r="T50" s="26">
        <f t="shared" si="2"/>
        <v>28.552174822219119</v>
      </c>
      <c r="U50" s="26">
        <f t="shared" si="2"/>
        <v>28.980457444552403</v>
      </c>
      <c r="V50" s="26">
        <f t="shared" si="2"/>
        <v>29.415164306220685</v>
      </c>
      <c r="W50" s="26">
        <f t="shared" si="2"/>
        <v>29.856391770813993</v>
      </c>
      <c r="X50" s="26">
        <f t="shared" si="2"/>
        <v>30.304237647376201</v>
      </c>
    </row>
    <row r="51" spans="1:28" x14ac:dyDescent="0.3">
      <c r="A51" t="s">
        <v>60</v>
      </c>
      <c r="C51">
        <v>0.6</v>
      </c>
    </row>
    <row r="52" spans="1:28" x14ac:dyDescent="0.3">
      <c r="A52" t="s">
        <v>61</v>
      </c>
      <c r="C52">
        <v>4500</v>
      </c>
    </row>
    <row r="53" spans="1:28" x14ac:dyDescent="0.3">
      <c r="A53" t="s">
        <v>91</v>
      </c>
      <c r="B53">
        <v>22.5</v>
      </c>
      <c r="D53" t="s">
        <v>57</v>
      </c>
    </row>
    <row r="54" spans="1:28" x14ac:dyDescent="0.3">
      <c r="A54" t="s">
        <v>65</v>
      </c>
      <c r="D54" t="s">
        <v>62</v>
      </c>
      <c r="E54">
        <f>(400+E56)*0.03*4500/C49</f>
        <v>63225</v>
      </c>
      <c r="F54" s="7">
        <f>(400+SUM(E56:F56))*0.03*4500/C49</f>
        <v>66449.999999999985</v>
      </c>
      <c r="G54" s="7">
        <f>(400+SUM(E56:G56))*0.03*4500/C49</f>
        <v>69674.999999999985</v>
      </c>
      <c r="H54">
        <f>(400+SUM(E56:H56))*0.03*4500/C49</f>
        <v>72900</v>
      </c>
      <c r="I54">
        <f>(400+SUM(E56:I56))*0.03*4500/C49</f>
        <v>76125</v>
      </c>
      <c r="J54">
        <f>(400+SUM(E56:J56))*0.03*4500/C49</f>
        <v>79350</v>
      </c>
      <c r="K54">
        <f>(400+SUM(E56:K56))*0.03*4500/C49</f>
        <v>82575</v>
      </c>
      <c r="L54">
        <f>(400+SUM(E56:L56))*0.03*4500/C49</f>
        <v>85800</v>
      </c>
      <c r="M54">
        <f>(400+SUM(E56:M56))*0.03*4500/C49</f>
        <v>89025</v>
      </c>
      <c r="N54">
        <f>(400+SUM(E56:N56))*0.03*4500/C49</f>
        <v>92250</v>
      </c>
      <c r="O54">
        <f>(400+SUM(E56:O56))*0.03*4500/C49</f>
        <v>95475</v>
      </c>
      <c r="P54">
        <f>(400+SUM(E56:P56))*0.03*4500/C49</f>
        <v>98700</v>
      </c>
      <c r="Q54">
        <f>(400+SUM(E56:Q56))*0.03*4500/C49</f>
        <v>101924.99999999999</v>
      </c>
      <c r="R54">
        <f>(400+SUM(E56:R56))*0.03*4500/C49</f>
        <v>105149.99999999999</v>
      </c>
      <c r="S54">
        <f>(400+SUM(E56:S56))*0.03*4500/C49</f>
        <v>108375</v>
      </c>
      <c r="T54">
        <f>(400+SUM(E56:T56))*0.03*4500/C49</f>
        <v>111600</v>
      </c>
      <c r="U54">
        <f>(400+SUM(E56:U56))*0.03*4500/C49</f>
        <v>114825</v>
      </c>
      <c r="V54">
        <f>(400+SUM(E56:V56))*0.03*4500/C49</f>
        <v>118050</v>
      </c>
      <c r="W54">
        <f>(400+SUM(E56:W56))*0.03*4500/C49</f>
        <v>121275</v>
      </c>
      <c r="X54">
        <f>(400+SUM(E56:X56))*0.03*4500/C49</f>
        <v>124500</v>
      </c>
      <c r="Z54" t="s">
        <v>51</v>
      </c>
      <c r="AA54" s="7">
        <f>SUM(E54:X54)/1000</f>
        <v>1877.25</v>
      </c>
      <c r="AB54" t="s">
        <v>7</v>
      </c>
    </row>
    <row r="55" spans="1:28" x14ac:dyDescent="0.3">
      <c r="A55" t="s">
        <v>54</v>
      </c>
      <c r="D55" t="s">
        <v>45</v>
      </c>
      <c r="E55">
        <f t="shared" ref="E55:X55" si="3">E54*E50/1000000</f>
        <v>1.4439009375</v>
      </c>
      <c r="F55" s="26">
        <f t="shared" si="3"/>
        <v>1.5403151531249992</v>
      </c>
      <c r="G55" s="8">
        <f t="shared" si="3"/>
        <v>1.6392969175078116</v>
      </c>
      <c r="H55" s="26">
        <f t="shared" si="3"/>
        <v>1.7409015639126555</v>
      </c>
      <c r="I55" s="26">
        <f t="shared" si="3"/>
        <v>1.8451855079032049</v>
      </c>
      <c r="J55" s="26">
        <f t="shared" si="3"/>
        <v>1.952206267361591</v>
      </c>
      <c r="K55" s="26">
        <f t="shared" si="3"/>
        <v>2.0620224828644496</v>
      </c>
      <c r="L55" s="26">
        <f t="shared" si="3"/>
        <v>2.1746939384222386</v>
      </c>
      <c r="M55" s="26">
        <f t="shared" si="3"/>
        <v>2.2902815825881158</v>
      </c>
      <c r="N55" s="26">
        <f t="shared" si="3"/>
        <v>2.4088475499428244</v>
      </c>
      <c r="O55" s="26">
        <f t="shared" si="3"/>
        <v>2.5304551829620925</v>
      </c>
      <c r="P55" s="26">
        <f t="shared" si="3"/>
        <v>2.6551690542732009</v>
      </c>
      <c r="Q55" s="26">
        <f t="shared" si="3"/>
        <v>2.7830549893074763</v>
      </c>
      <c r="R55" s="26">
        <f t="shared" si="3"/>
        <v>2.9141800893555683</v>
      </c>
      <c r="S55" s="26">
        <f t="shared" si="3"/>
        <v>3.0486127550325097</v>
      </c>
      <c r="T55" s="26">
        <f t="shared" si="3"/>
        <v>3.1864227101596536</v>
      </c>
      <c r="U55" s="26">
        <f t="shared" si="3"/>
        <v>3.3276810260707297</v>
      </c>
      <c r="V55" s="26">
        <f t="shared" si="3"/>
        <v>3.4724601463493521</v>
      </c>
      <c r="W55" s="26">
        <f t="shared" si="3"/>
        <v>3.6208339120054669</v>
      </c>
      <c r="X55" s="26">
        <f t="shared" si="3"/>
        <v>3.7728775870983373</v>
      </c>
      <c r="Z55" t="s">
        <v>51</v>
      </c>
      <c r="AA55" s="4">
        <f>SUM(E55:X55)</f>
        <v>50.409399353742273</v>
      </c>
      <c r="AB55" t="s">
        <v>45</v>
      </c>
    </row>
    <row r="56" spans="1:28" x14ac:dyDescent="0.3">
      <c r="A56" t="s">
        <v>66</v>
      </c>
      <c r="D56" t="s">
        <v>9</v>
      </c>
      <c r="E56">
        <v>21.5</v>
      </c>
      <c r="F56">
        <v>21.5</v>
      </c>
      <c r="G56">
        <v>21.5</v>
      </c>
      <c r="H56">
        <v>21.5</v>
      </c>
      <c r="I56">
        <v>21.5</v>
      </c>
      <c r="J56">
        <v>21.5</v>
      </c>
      <c r="K56">
        <v>21.5</v>
      </c>
      <c r="L56">
        <v>21.5</v>
      </c>
      <c r="M56">
        <v>21.5</v>
      </c>
      <c r="N56">
        <v>21.5</v>
      </c>
      <c r="O56">
        <v>21.5</v>
      </c>
      <c r="P56">
        <v>21.5</v>
      </c>
      <c r="Q56">
        <v>21.5</v>
      </c>
      <c r="R56">
        <v>21.5</v>
      </c>
      <c r="S56">
        <v>21.5</v>
      </c>
      <c r="T56">
        <v>21.5</v>
      </c>
      <c r="U56">
        <v>21.5</v>
      </c>
      <c r="V56">
        <v>21.5</v>
      </c>
      <c r="W56">
        <v>21.5</v>
      </c>
      <c r="X56">
        <v>21.5</v>
      </c>
    </row>
    <row r="57" spans="1:28" x14ac:dyDescent="0.3">
      <c r="A57" t="s">
        <v>67</v>
      </c>
      <c r="C57" t="s">
        <v>68</v>
      </c>
    </row>
    <row r="58" spans="1:28" x14ac:dyDescent="0.3">
      <c r="A58" t="s">
        <v>6</v>
      </c>
      <c r="D58" t="s">
        <v>7</v>
      </c>
      <c r="E58">
        <v>3.35</v>
      </c>
      <c r="F58">
        <v>3.35</v>
      </c>
      <c r="G58">
        <v>3.35</v>
      </c>
      <c r="H58">
        <v>3.35</v>
      </c>
      <c r="I58">
        <v>3.35</v>
      </c>
      <c r="J58">
        <v>3.35</v>
      </c>
      <c r="K58">
        <v>3.35</v>
      </c>
      <c r="L58">
        <v>3.35</v>
      </c>
      <c r="M58">
        <v>3.35</v>
      </c>
      <c r="N58">
        <v>3.35</v>
      </c>
      <c r="O58">
        <v>3.35</v>
      </c>
      <c r="P58">
        <v>3.35</v>
      </c>
      <c r="Q58">
        <v>3.35</v>
      </c>
      <c r="R58">
        <v>3.35</v>
      </c>
      <c r="S58">
        <v>3.35</v>
      </c>
      <c r="T58">
        <v>3.35</v>
      </c>
      <c r="U58">
        <v>3.35</v>
      </c>
      <c r="V58">
        <v>3.35</v>
      </c>
      <c r="W58">
        <v>3.35</v>
      </c>
      <c r="X58">
        <v>3.35</v>
      </c>
    </row>
    <row r="59" spans="1:28" x14ac:dyDescent="0.3">
      <c r="A59" t="s">
        <v>81</v>
      </c>
      <c r="D59" t="s">
        <v>7</v>
      </c>
      <c r="E59">
        <f>(93+3.35)/0.85*0.15</f>
        <v>17.002941176470586</v>
      </c>
      <c r="F59">
        <f>(93+SUM(E58:F58))/0.85*0.15</f>
        <v>17.594117647058823</v>
      </c>
      <c r="G59">
        <f>(93+SUM(E58:G58))/0.85*0.15</f>
        <v>18.185294117647057</v>
      </c>
      <c r="H59">
        <f>(93+SUM(E58:H58))/0.85*0.15</f>
        <v>18.776470588235295</v>
      </c>
      <c r="I59">
        <f>(93+SUM(E58:I58))/0.85*0.15</f>
        <v>19.367647058823529</v>
      </c>
      <c r="J59">
        <f>(93+SUM(E58:J58))/0.85*0.15</f>
        <v>19.958823529411763</v>
      </c>
      <c r="K59">
        <f>(93+SUM(E58:K58))/0.85*0.15</f>
        <v>20.55</v>
      </c>
      <c r="L59">
        <f>(93+SUM(E58:L58))/0.85*0.15</f>
        <v>21.141176470588238</v>
      </c>
      <c r="M59">
        <f>(93+SUM(E58:M58))/0.85*0.15</f>
        <v>21.732352941176472</v>
      </c>
      <c r="N59">
        <f>(93+SUM(E58:N58))/0.85*0.15</f>
        <v>22.323529411764703</v>
      </c>
      <c r="O59">
        <f>(93+SUM(E58:O58))/0.85*0.15</f>
        <v>22.914705882352948</v>
      </c>
      <c r="P59">
        <f>(93+SUM(E58:P58))/0.85*0.15</f>
        <v>23.505882352941178</v>
      </c>
      <c r="Q59">
        <f>(93+SUM(E58:Q58))/0.85*0.15</f>
        <v>24.097058823529412</v>
      </c>
      <c r="R59">
        <f>(93+SUM(E58:R58))/0.85*0.15</f>
        <v>24.688235294117646</v>
      </c>
      <c r="S59">
        <f>(93+SUM(E58:S58))/0.85*0.15</f>
        <v>25.27941176470588</v>
      </c>
      <c r="T59">
        <f>(93+SUM(E58:T58))/0.85*0.15</f>
        <v>25.870588235294122</v>
      </c>
      <c r="U59">
        <f>(93+SUM(E58:U58))/0.85*0.15</f>
        <v>26.461764705882356</v>
      </c>
      <c r="V59">
        <f>(93+SUM(E58:V58))/0.85*0.15</f>
        <v>27.05294117647059</v>
      </c>
      <c r="W59">
        <f>(93+SUM(E58:W58))/0.85*0.15</f>
        <v>27.644117647058831</v>
      </c>
      <c r="X59">
        <f>(93+SUM(E58:X58))/0.85*0.15</f>
        <v>28.235294117647062</v>
      </c>
      <c r="Z59" t="s">
        <v>51</v>
      </c>
      <c r="AA59" s="7">
        <f>SUM(E59:X59)</f>
        <v>452.38235294117646</v>
      </c>
      <c r="AB59" t="s">
        <v>7</v>
      </c>
    </row>
    <row r="60" spans="1:28" x14ac:dyDescent="0.3">
      <c r="A60" t="s">
        <v>82</v>
      </c>
    </row>
    <row r="61" spans="1:28" x14ac:dyDescent="0.3">
      <c r="A61" t="s">
        <v>83</v>
      </c>
      <c r="D61" t="s">
        <v>45</v>
      </c>
      <c r="E61">
        <f>E59/C49*E50/1000</f>
        <v>0.43144963235294104</v>
      </c>
      <c r="F61" s="26">
        <f>F59/C49*F50/1000</f>
        <v>0.45314749632352924</v>
      </c>
      <c r="G61" s="26">
        <f>G59/C49*G50/1000</f>
        <v>0.47539922004595564</v>
      </c>
      <c r="H61" s="26">
        <f>H59/C49*H50/1000</f>
        <v>0.49821653729338217</v>
      </c>
      <c r="I61" s="26">
        <f>I59/C49*I50/1000</f>
        <v>0.52161140923372107</v>
      </c>
      <c r="J61" s="26">
        <f>J59/C49*J50/1000</f>
        <v>0.54559602861137901</v>
      </c>
      <c r="K61" s="26">
        <f>K59/C49*K50/1000</f>
        <v>0.57018282400328912</v>
      </c>
      <c r="L61" s="26">
        <f>L59/C49*L50/1000</f>
        <v>0.59538446415051915</v>
      </c>
      <c r="M61" s="26">
        <f>M59/C49*M50/1000</f>
        <v>0.62121386236676512</v>
      </c>
      <c r="N61" s="26">
        <f>N59/C49*N50/1000</f>
        <v>0.64768418102506464</v>
      </c>
      <c r="O61" s="26">
        <f>O59/C49*O50/1000</f>
        <v>0.67480883612408105</v>
      </c>
      <c r="P61" s="26">
        <f>P59/C49*P50/1000</f>
        <v>0.70260150193533666</v>
      </c>
      <c r="Q61" s="26">
        <f>Q59/C49*Q50/1000</f>
        <v>0.73107611573280229</v>
      </c>
      <c r="R61" s="26">
        <f>R59/C49*R50/1000</f>
        <v>0.76024688260625639</v>
      </c>
      <c r="S61" s="26">
        <f>S59/C49*S50/1000</f>
        <v>0.79012828035987426</v>
      </c>
      <c r="T61" s="26">
        <f>T59/C49*T50/1000</f>
        <v>0.82073506449751432</v>
      </c>
      <c r="U61" s="26">
        <f>U59/C49*U50/1000</f>
        <v>0.85208227329620267</v>
      </c>
      <c r="V61" s="26">
        <f>V59/C49*V50/1000</f>
        <v>0.88418523296933937</v>
      </c>
      <c r="W61" s="26">
        <f>W59/C49*W50/1000</f>
        <v>0.91705956292117896</v>
      </c>
      <c r="X61" s="26">
        <f>X59/C49*X50/1000</f>
        <v>0.95072118109415549</v>
      </c>
      <c r="Z61" t="s">
        <v>51</v>
      </c>
      <c r="AA61" s="4">
        <f>SUM(E61:X61)</f>
        <v>13.44353058694329</v>
      </c>
      <c r="AB61" t="s">
        <v>45</v>
      </c>
    </row>
    <row r="64" spans="1:28" x14ac:dyDescent="0.3">
      <c r="A64" s="27" t="s">
        <v>38</v>
      </c>
    </row>
    <row r="65" spans="1:28" x14ac:dyDescent="0.3">
      <c r="A65" t="s">
        <v>53</v>
      </c>
      <c r="D65" t="s">
        <v>62</v>
      </c>
      <c r="E65">
        <f>(1900+E67)*C71*C70*0.0075</f>
        <v>41613.75</v>
      </c>
      <c r="F65" s="4">
        <f>(1900+SUM(E67:F67))*C71*C70*0.0075</f>
        <v>44752.5</v>
      </c>
      <c r="G65">
        <f>(1900+SUM(E67:G67))*C71*C70*0.0075</f>
        <v>47891.25</v>
      </c>
      <c r="H65" s="4">
        <f>(1900+SUM(E67:H67))*C71*C70*0.0075</f>
        <v>51030</v>
      </c>
      <c r="I65">
        <f>(1900+SUM(E67:I67))*C71*C70*0.0075</f>
        <v>54168.75</v>
      </c>
      <c r="J65" s="4">
        <f>(1900+SUM(E67:J67))*C71*C70*0.0075</f>
        <v>57307.5</v>
      </c>
      <c r="K65">
        <f>(1900+SUM(E67:K67))*C71*C70*0.0075</f>
        <v>60446.25</v>
      </c>
      <c r="L65" s="4">
        <f>(1900+SUM(E67:L67))*C71*C70*0.0075</f>
        <v>63585</v>
      </c>
      <c r="M65">
        <f>(1900+SUM(E67:M67))*C71*C70*0.0075</f>
        <v>66723.75</v>
      </c>
      <c r="N65" s="4">
        <f>(1900+SUM(E67:N67))*C71*C70*0.0075</f>
        <v>69862.5</v>
      </c>
      <c r="O65">
        <f>(1900+SUM(E67:O67))*C71*C70*0.0075</f>
        <v>73001.25</v>
      </c>
      <c r="P65" s="4">
        <f>(1900+SUM(E67:P67))*C71*C70*0.0075</f>
        <v>76140</v>
      </c>
      <c r="Q65">
        <f>(1900+SUM(E67:Q67))*C71*C70*0.0075</f>
        <v>79278.75</v>
      </c>
      <c r="R65" s="4">
        <f>(1900+SUM(E67:R67))*C71*C70*0.0075</f>
        <v>82417.5</v>
      </c>
      <c r="S65">
        <f>(1900+SUM(E67:S67))*C71*C70*0.0075</f>
        <v>85556.25</v>
      </c>
      <c r="T65" s="4">
        <f>(1900+SUM(E67:T67))*C71*C70*0.0075</f>
        <v>88695</v>
      </c>
      <c r="U65">
        <f>(1900+SUM(E67:U67))*C71*C70*0.0075</f>
        <v>91833.75</v>
      </c>
      <c r="V65">
        <f>(1900+SUM(E67:V67))*C71*C70*0.0075</f>
        <v>94972.5</v>
      </c>
      <c r="W65">
        <f>(1900+SUM(E67:W67))*C71*C70*0.0075</f>
        <v>98111.25</v>
      </c>
      <c r="X65">
        <f>(1900+SUM(E67:X67))*C71*C70*0.0075</f>
        <v>101250</v>
      </c>
      <c r="Z65" t="s">
        <v>51</v>
      </c>
      <c r="AA65" s="7">
        <f>SUM(E65:X65)/1000</f>
        <v>1428.6375</v>
      </c>
      <c r="AB65" t="s">
        <v>7</v>
      </c>
    </row>
    <row r="66" spans="1:28" x14ac:dyDescent="0.3">
      <c r="A66" t="s">
        <v>54</v>
      </c>
      <c r="D66" t="s">
        <v>45</v>
      </c>
      <c r="E66">
        <f>E65/C68*E69/1000000</f>
        <v>1.05594890625</v>
      </c>
      <c r="F66" s="5">
        <f>F65/C68*F69/1000000</f>
        <v>1.1526286078124997</v>
      </c>
      <c r="G66" s="26">
        <f>G65/C68*G69/1000000</f>
        <v>1.2519711119179684</v>
      </c>
      <c r="H66" s="26">
        <f>H65/C68*H69/1000000</f>
        <v>1.3540345497098429</v>
      </c>
      <c r="I66" s="26">
        <f>I65/C68*I69/1000000</f>
        <v>1.4588781971352927</v>
      </c>
      <c r="J66" s="26">
        <f>J65/C68*J69/1000000</f>
        <v>1.566562496209821</v>
      </c>
      <c r="K66" s="26">
        <f>K65/C68*K69/1000000</f>
        <v>1.6771490766622297</v>
      </c>
      <c r="L66" s="26">
        <f>L65/C68*L69/1000000</f>
        <v>1.7907007779665634</v>
      </c>
      <c r="M66" s="26">
        <f>M65/C68*M69/1000000</f>
        <v>1.9072816717677781</v>
      </c>
      <c r="N66" s="26">
        <f>N65/C68*N69/1000000</f>
        <v>2.0269570847079867</v>
      </c>
      <c r="O66" s="26">
        <f>O65/C68*O69/1000000</f>
        <v>2.1497936216602538</v>
      </c>
      <c r="P66" s="26">
        <f>P65/C68*P69/1000000</f>
        <v>2.2758591893770297</v>
      </c>
      <c r="Q66" s="26">
        <f>Q65/C68*Q69/1000000</f>
        <v>2.405223020560435</v>
      </c>
      <c r="R66" s="26">
        <f>R65/C68*R69/1000000</f>
        <v>2.5379556983617331</v>
      </c>
      <c r="S66" s="26">
        <f>S65/C68*S69/1000000</f>
        <v>2.6741291813174435</v>
      </c>
      <c r="T66" s="26">
        <f>T65/C68*T69/1000000</f>
        <v>2.8138168287296943</v>
      </c>
      <c r="U66" s="26">
        <f>U65/C68*U69/1000000</f>
        <v>2.957093426498516</v>
      </c>
      <c r="V66" s="26">
        <f>V65/C68*V69/1000000</f>
        <v>3.1040352134139377</v>
      </c>
      <c r="W66" s="26">
        <f>W65/C68*W69/1000000</f>
        <v>3.2547199079158604</v>
      </c>
      <c r="X66" s="26">
        <f>X65/C68*X69/1000000</f>
        <v>3.4092267353298227</v>
      </c>
      <c r="Z66" t="s">
        <v>51</v>
      </c>
      <c r="AA66" s="4">
        <f>SUM(E66:X66)</f>
        <v>42.823965303304718</v>
      </c>
      <c r="AB66" t="s">
        <v>45</v>
      </c>
    </row>
    <row r="67" spans="1:28" x14ac:dyDescent="0.3">
      <c r="A67" t="s">
        <v>55</v>
      </c>
      <c r="D67" t="s">
        <v>12</v>
      </c>
      <c r="E67">
        <v>155</v>
      </c>
      <c r="F67">
        <v>155</v>
      </c>
      <c r="G67">
        <v>155</v>
      </c>
      <c r="H67">
        <v>155</v>
      </c>
      <c r="I67">
        <v>155</v>
      </c>
      <c r="J67">
        <v>155</v>
      </c>
      <c r="K67">
        <v>155</v>
      </c>
      <c r="L67">
        <v>155</v>
      </c>
      <c r="M67">
        <v>155</v>
      </c>
      <c r="N67">
        <v>155</v>
      </c>
      <c r="O67">
        <v>155</v>
      </c>
      <c r="P67">
        <v>155</v>
      </c>
      <c r="Q67">
        <v>155</v>
      </c>
      <c r="R67">
        <v>155</v>
      </c>
      <c r="S67">
        <v>155</v>
      </c>
      <c r="T67">
        <v>155</v>
      </c>
      <c r="U67">
        <v>155</v>
      </c>
      <c r="V67">
        <v>155</v>
      </c>
      <c r="W67">
        <v>155</v>
      </c>
      <c r="X67">
        <v>155</v>
      </c>
    </row>
    <row r="68" spans="1:28" x14ac:dyDescent="0.3">
      <c r="A68" t="s">
        <v>58</v>
      </c>
      <c r="C68">
        <v>0.9</v>
      </c>
    </row>
    <row r="69" spans="1:28" x14ac:dyDescent="0.3">
      <c r="A69" t="s">
        <v>93</v>
      </c>
      <c r="D69" s="3" t="s">
        <v>16</v>
      </c>
      <c r="E69" s="6">
        <f>22.5*1.015</f>
        <v>22.837499999999999</v>
      </c>
      <c r="F69" s="25">
        <f t="shared" ref="F69:X69" si="4">E69*1.015</f>
        <v>23.180062499999995</v>
      </c>
      <c r="G69" s="26">
        <f t="shared" si="4"/>
        <v>23.527763437499992</v>
      </c>
      <c r="H69" s="26">
        <f t="shared" si="4"/>
        <v>23.880679889062488</v>
      </c>
      <c r="I69" s="26">
        <f t="shared" si="4"/>
        <v>24.238890087398424</v>
      </c>
      <c r="J69" s="26">
        <f t="shared" si="4"/>
        <v>24.602473438709399</v>
      </c>
      <c r="K69" s="26">
        <f t="shared" si="4"/>
        <v>24.971510540290037</v>
      </c>
      <c r="L69" s="26">
        <f t="shared" si="4"/>
        <v>25.346083198394386</v>
      </c>
      <c r="M69" s="26">
        <f t="shared" si="4"/>
        <v>25.726274446370297</v>
      </c>
      <c r="N69" s="26">
        <f t="shared" si="4"/>
        <v>26.11216856306585</v>
      </c>
      <c r="O69" s="26">
        <f t="shared" si="4"/>
        <v>26.503851091511837</v>
      </c>
      <c r="P69" s="26">
        <f t="shared" si="4"/>
        <v>26.901408857884512</v>
      </c>
      <c r="Q69" s="26">
        <f t="shared" si="4"/>
        <v>27.304929990752775</v>
      </c>
      <c r="R69" s="26">
        <f t="shared" si="4"/>
        <v>27.714503940614065</v>
      </c>
      <c r="S69" s="26">
        <f t="shared" si="4"/>
        <v>28.130221499723273</v>
      </c>
      <c r="T69" s="26">
        <f t="shared" si="4"/>
        <v>28.552174822219119</v>
      </c>
      <c r="U69" s="26">
        <f t="shared" si="4"/>
        <v>28.980457444552403</v>
      </c>
      <c r="V69" s="26">
        <f t="shared" si="4"/>
        <v>29.415164306220685</v>
      </c>
      <c r="W69" s="26">
        <f t="shared" si="4"/>
        <v>29.856391770813993</v>
      </c>
      <c r="X69" s="26">
        <f t="shared" si="4"/>
        <v>30.304237647376201</v>
      </c>
    </row>
    <row r="70" spans="1:28" x14ac:dyDescent="0.3">
      <c r="A70" t="s">
        <v>60</v>
      </c>
      <c r="C70">
        <v>0.6</v>
      </c>
    </row>
    <row r="71" spans="1:28" x14ac:dyDescent="0.3">
      <c r="A71" t="s">
        <v>61</v>
      </c>
      <c r="C71">
        <v>4500</v>
      </c>
    </row>
    <row r="72" spans="1:28" x14ac:dyDescent="0.3">
      <c r="A72" t="s">
        <v>91</v>
      </c>
      <c r="B72">
        <v>22.5</v>
      </c>
      <c r="D72" t="s">
        <v>57</v>
      </c>
    </row>
    <row r="73" spans="1:28" x14ac:dyDescent="0.3">
      <c r="A73" t="s">
        <v>65</v>
      </c>
      <c r="D73" t="s">
        <v>62</v>
      </c>
      <c r="E73">
        <f>(700+E75)*0.03*4500/C68</f>
        <v>105000</v>
      </c>
      <c r="F73" s="7">
        <f>(700+SUM(E75:F75))*0.03*4500/C68</f>
        <v>105000</v>
      </c>
      <c r="G73" s="7">
        <f>(700+SUM(E75:G75))*0.03*4500/C68</f>
        <v>105000</v>
      </c>
      <c r="H73">
        <f>(700+SUM(E75:H75))*0.03*4500/C68</f>
        <v>105000</v>
      </c>
      <c r="I73">
        <f>(700+SUM(E75:I75))*0.03*4500/C68</f>
        <v>105000</v>
      </c>
      <c r="J73">
        <f>(700+SUM(E75:J75))*0.03*4500/C68</f>
        <v>105000</v>
      </c>
      <c r="K73">
        <f>(700+SUM(E75:K75))*0.03*4500/C68</f>
        <v>105000</v>
      </c>
      <c r="L73">
        <f>(700+SUM(E75:L75))*0.03*4500/C68</f>
        <v>105000</v>
      </c>
      <c r="M73">
        <f>(700+SUM(E75:M75))*0.03*4500/C68</f>
        <v>105000</v>
      </c>
      <c r="N73">
        <f>(700+SUM(E75:N75))*0.03*4500/C68</f>
        <v>105000</v>
      </c>
      <c r="O73">
        <f>(700+SUM(E75:O75))*0.03*4500/C68</f>
        <v>105000</v>
      </c>
      <c r="P73">
        <f>(700+SUM(E75:P75))*0.03*4500/C68</f>
        <v>105000</v>
      </c>
      <c r="Q73">
        <f>(700+SUM(E75:Q75))*0.03*4500/C68</f>
        <v>105000</v>
      </c>
      <c r="R73">
        <f>(700+SUM(E75:R75))*0.03*4500/C68</f>
        <v>105000</v>
      </c>
      <c r="S73">
        <f>(700+SUM(E75:S75))*0.03*4500/C68</f>
        <v>105000</v>
      </c>
      <c r="T73">
        <f>(700+SUM(E75:T75))*0.03*4500/C68</f>
        <v>105000</v>
      </c>
      <c r="U73">
        <f>(700+SUM(E75:U75))*0.03*4500/C68</f>
        <v>105000</v>
      </c>
      <c r="V73">
        <f>(700+SUM(E75:V75))*0.03*4500/C68</f>
        <v>105000</v>
      </c>
      <c r="W73">
        <f>(700+SUM(E75:W75))*0.03*4500/C68</f>
        <v>105000</v>
      </c>
      <c r="X73">
        <f>(700+SUM(E75:X75))*0.03*4500/C68</f>
        <v>105000</v>
      </c>
      <c r="Z73" t="s">
        <v>51</v>
      </c>
      <c r="AA73">
        <f>SUM(E73:X73)/1000</f>
        <v>2100</v>
      </c>
      <c r="AB73" t="s">
        <v>7</v>
      </c>
    </row>
    <row r="74" spans="1:28" x14ac:dyDescent="0.3">
      <c r="A74" t="s">
        <v>54</v>
      </c>
      <c r="D74" t="s">
        <v>45</v>
      </c>
      <c r="E74">
        <f t="shared" ref="E74:X74" si="5">E73*E69/1000000</f>
        <v>2.3979374999999998</v>
      </c>
      <c r="F74" s="26">
        <f t="shared" si="5"/>
        <v>2.4339065624999994</v>
      </c>
      <c r="G74" s="8">
        <f t="shared" si="5"/>
        <v>2.4704151609374994</v>
      </c>
      <c r="H74" s="26">
        <f t="shared" si="5"/>
        <v>2.5074713883515614</v>
      </c>
      <c r="I74" s="26">
        <f t="shared" si="5"/>
        <v>2.5450834591768348</v>
      </c>
      <c r="J74" s="26">
        <f t="shared" si="5"/>
        <v>2.5832597110644868</v>
      </c>
      <c r="K74" s="26">
        <f t="shared" si="5"/>
        <v>2.6220086067304536</v>
      </c>
      <c r="L74" s="26">
        <f t="shared" si="5"/>
        <v>2.6613387358314107</v>
      </c>
      <c r="M74" s="26">
        <f t="shared" si="5"/>
        <v>2.7012588168688811</v>
      </c>
      <c r="N74" s="26">
        <f t="shared" si="5"/>
        <v>2.7417776991219145</v>
      </c>
      <c r="O74" s="26">
        <f t="shared" si="5"/>
        <v>2.7829043646087426</v>
      </c>
      <c r="P74" s="26">
        <f t="shared" si="5"/>
        <v>2.8246479300778735</v>
      </c>
      <c r="Q74" s="26">
        <f t="shared" si="5"/>
        <v>2.8670176490290418</v>
      </c>
      <c r="R74" s="26">
        <f t="shared" si="5"/>
        <v>2.9100229137644766</v>
      </c>
      <c r="S74" s="26">
        <f t="shared" si="5"/>
        <v>2.9536732574709434</v>
      </c>
      <c r="T74" s="26">
        <f t="shared" si="5"/>
        <v>2.9979783563330074</v>
      </c>
      <c r="U74" s="26">
        <f t="shared" si="5"/>
        <v>3.0429480316780024</v>
      </c>
      <c r="V74" s="26">
        <f t="shared" si="5"/>
        <v>3.0885922521531723</v>
      </c>
      <c r="W74" s="26">
        <f t="shared" si="5"/>
        <v>3.1349211359354689</v>
      </c>
      <c r="X74" s="26">
        <f t="shared" si="5"/>
        <v>3.1819449529745012</v>
      </c>
      <c r="Z74" t="s">
        <v>51</v>
      </c>
      <c r="AA74" s="4">
        <f>SUM(E74:X74)</f>
        <v>55.449108484608281</v>
      </c>
      <c r="AB74" t="s">
        <v>45</v>
      </c>
    </row>
    <row r="75" spans="1:28" x14ac:dyDescent="0.3">
      <c r="A75" t="s">
        <v>66</v>
      </c>
      <c r="D75" t="s">
        <v>9</v>
      </c>
      <c r="E75">
        <v>0</v>
      </c>
    </row>
    <row r="76" spans="1:28" x14ac:dyDescent="0.3">
      <c r="A76" t="s">
        <v>67</v>
      </c>
      <c r="C76" t="s">
        <v>68</v>
      </c>
    </row>
    <row r="77" spans="1:28" x14ac:dyDescent="0.3">
      <c r="A77" t="s">
        <v>6</v>
      </c>
      <c r="D77" t="s">
        <v>7</v>
      </c>
      <c r="E77">
        <v>6.65</v>
      </c>
      <c r="F77">
        <v>6.65</v>
      </c>
      <c r="G77">
        <v>6.65</v>
      </c>
      <c r="H77">
        <v>6.65</v>
      </c>
      <c r="I77">
        <v>6.65</v>
      </c>
      <c r="J77">
        <v>6.65</v>
      </c>
      <c r="K77">
        <v>6.65</v>
      </c>
      <c r="L77">
        <v>6.65</v>
      </c>
      <c r="M77">
        <v>6.65</v>
      </c>
      <c r="N77">
        <v>6.65</v>
      </c>
      <c r="O77">
        <v>6.65</v>
      </c>
      <c r="P77">
        <v>6.65</v>
      </c>
      <c r="Q77">
        <v>6.65</v>
      </c>
      <c r="R77">
        <v>6.65</v>
      </c>
      <c r="S77">
        <v>6.65</v>
      </c>
      <c r="T77">
        <v>6.65</v>
      </c>
      <c r="U77">
        <v>6.65</v>
      </c>
      <c r="V77">
        <v>6.65</v>
      </c>
      <c r="W77">
        <v>6.65</v>
      </c>
      <c r="X77">
        <v>6.65</v>
      </c>
    </row>
    <row r="78" spans="1:28" x14ac:dyDescent="0.3">
      <c r="A78" t="s">
        <v>81</v>
      </c>
      <c r="D78" t="s">
        <v>7</v>
      </c>
      <c r="E78">
        <f>(160+6.35)/0.85*0.15</f>
        <v>29.355882352941176</v>
      </c>
      <c r="F78">
        <f>(160+SUM(E77:F77))/0.85*0.15</f>
        <v>30.582352941176474</v>
      </c>
      <c r="G78">
        <f>(160+SUM(E77:G77))/0.85*0.15</f>
        <v>31.755882352941171</v>
      </c>
      <c r="H78">
        <f>(160+SUM(E77:H77))/0.85*0.15</f>
        <v>32.929411764705883</v>
      </c>
      <c r="I78">
        <f>(160+SUM(E77:I77))/0.85*0.15</f>
        <v>34.102941176470587</v>
      </c>
      <c r="J78">
        <f>(160+SUM(E77:J77))/0.85*0.15</f>
        <v>35.276470588235291</v>
      </c>
      <c r="K78">
        <f>(160+SUM(E77:K77))/0.85*0.15</f>
        <v>36.450000000000003</v>
      </c>
      <c r="L78">
        <f>(160+SUM(E77:L77))/0.85*0.15</f>
        <v>37.6235294117647</v>
      </c>
      <c r="M78">
        <f>(160+SUM(E77:M77))/0.85*0.15</f>
        <v>38.797058823529404</v>
      </c>
      <c r="N78">
        <f>(160+SUM(E77:N77))/0.85*0.15</f>
        <v>39.970588235294123</v>
      </c>
      <c r="O78">
        <f>(160+SUM(E77:O77))/0.85*0.15</f>
        <v>41.144117647058827</v>
      </c>
      <c r="P78">
        <f>(160+SUM(E77:P77))/0.85*0.15</f>
        <v>42.317647058823532</v>
      </c>
      <c r="Q78">
        <f>(160+SUM(E77:Q77))/0.85*0.15</f>
        <v>43.491176470588243</v>
      </c>
      <c r="R78">
        <f>(160+SUM(E77:R77))/0.85*0.15</f>
        <v>44.664705882352948</v>
      </c>
      <c r="S78">
        <f>(160+SUM(E77:S77))/0.85*0.15</f>
        <v>45.838235294117652</v>
      </c>
      <c r="T78">
        <f>(160+SUM(E77:T77))/0.85*0.15</f>
        <v>47.011764705882356</v>
      </c>
      <c r="U78">
        <f>(160+SUM(E77:U77))/0.85*0.15</f>
        <v>48.185294117647068</v>
      </c>
      <c r="V78">
        <f>(160+SUM(E77:V77))/0.85*0.15</f>
        <v>49.358823529411772</v>
      </c>
      <c r="W78">
        <f>(160+SUM(E77:W77))/0.85*0.15</f>
        <v>50.532352941176477</v>
      </c>
      <c r="X78">
        <f>(160+SUM(E77:X77))/0.85*0.15</f>
        <v>51.705882352941188</v>
      </c>
      <c r="Z78" t="s">
        <v>51</v>
      </c>
      <c r="AA78" s="7">
        <f>SUM(E78:X78)</f>
        <v>811.09411764705897</v>
      </c>
      <c r="AB78" t="s">
        <v>7</v>
      </c>
    </row>
    <row r="79" spans="1:28" x14ac:dyDescent="0.3">
      <c r="A79" t="s">
        <v>82</v>
      </c>
    </row>
    <row r="80" spans="1:28" x14ac:dyDescent="0.3">
      <c r="A80" t="s">
        <v>83</v>
      </c>
      <c r="D80" t="s">
        <v>45</v>
      </c>
      <c r="E80">
        <f>E78/C68*E69/1000</f>
        <v>0.74490551470588229</v>
      </c>
      <c r="F80" s="26">
        <f>F78/C68*F69/1000</f>
        <v>0.78766761397058815</v>
      </c>
      <c r="G80" s="26">
        <f>G78/C68*G69/1000</f>
        <v>0.83016098638786717</v>
      </c>
      <c r="H80" s="26">
        <f>H78/C68*H69/1000</f>
        <v>0.87375193476452162</v>
      </c>
      <c r="I80" s="26">
        <f>I78/C68*I69/1000</f>
        <v>0.91846382537053828</v>
      </c>
      <c r="J80" s="26">
        <f>J78/C68*J69/1000</f>
        <v>0.96432047850941349</v>
      </c>
      <c r="K80" s="26">
        <f>K78/C68*K69/1000</f>
        <v>1.0113461768817464</v>
      </c>
      <c r="L80" s="26">
        <f>L78/C68*L69/1000</f>
        <v>1.0595656740975847</v>
      </c>
      <c r="M80" s="26">
        <f>M78/C68*M69/1000</f>
        <v>1.1090042033400997</v>
      </c>
      <c r="N80" s="26">
        <f>N78/C68*N69/1000</f>
        <v>1.1596874861832187</v>
      </c>
      <c r="O80" s="26">
        <f>O78/C68*O69/1000</f>
        <v>1.2116417415658796</v>
      </c>
      <c r="P80" s="26">
        <f>P78/C68*P69/1000</f>
        <v>1.2648936949256289</v>
      </c>
      <c r="Q80" s="26">
        <f>Q78/C68*Q69/1000</f>
        <v>1.3194705874943182</v>
      </c>
      <c r="R80" s="26">
        <f>R78/C68*R69/1000</f>
        <v>1.3754001857587099</v>
      </c>
      <c r="S80" s="26">
        <f>S78/C68*S69/1000</f>
        <v>1.4327107910888472</v>
      </c>
      <c r="T80" s="26">
        <f>T78/C68*T69/1000</f>
        <v>1.4914312495370927</v>
      </c>
      <c r="U80" s="26">
        <f>U78/C68*U69/1000</f>
        <v>1.5515909618107913</v>
      </c>
      <c r="V80" s="26">
        <f>V78/C68*V69/1000</f>
        <v>1.6132198934215543</v>
      </c>
      <c r="W80" s="26">
        <f>W78/C68*W69/1000</f>
        <v>1.6763485850142328</v>
      </c>
      <c r="X80" s="26">
        <f>X78/C68*X69/1000</f>
        <v>1.7410081628786722</v>
      </c>
      <c r="Z80" t="s">
        <v>51</v>
      </c>
      <c r="AA80" s="4">
        <f>SUM(E80:X80)</f>
        <v>24.136589747707188</v>
      </c>
      <c r="AB80" t="s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topLeftCell="A10" workbookViewId="0">
      <selection activeCell="O22" sqref="O22"/>
    </sheetView>
  </sheetViews>
  <sheetFormatPr defaultRowHeight="14.4" x14ac:dyDescent="0.3"/>
  <sheetData>
    <row r="2" spans="1:17" x14ac:dyDescent="0.3">
      <c r="C2" t="s">
        <v>95</v>
      </c>
      <c r="O2" t="s">
        <v>104</v>
      </c>
      <c r="P2">
        <v>3.6</v>
      </c>
      <c r="Q2" t="s">
        <v>101</v>
      </c>
    </row>
    <row r="3" spans="1:17" x14ac:dyDescent="0.3">
      <c r="C3" t="s">
        <v>96</v>
      </c>
      <c r="G3" t="s">
        <v>99</v>
      </c>
      <c r="K3" t="s">
        <v>51</v>
      </c>
    </row>
    <row r="4" spans="1:17" x14ac:dyDescent="0.3">
      <c r="C4" t="s">
        <v>97</v>
      </c>
      <c r="E4" t="s">
        <v>98</v>
      </c>
      <c r="G4" t="s">
        <v>97</v>
      </c>
      <c r="I4" t="s">
        <v>98</v>
      </c>
      <c r="K4" t="s">
        <v>97</v>
      </c>
      <c r="M4" t="s">
        <v>98</v>
      </c>
    </row>
    <row r="5" spans="1:17" x14ac:dyDescent="0.3">
      <c r="C5" t="s">
        <v>100</v>
      </c>
      <c r="D5" t="s">
        <v>101</v>
      </c>
      <c r="E5" t="s">
        <v>100</v>
      </c>
      <c r="F5" t="s">
        <v>101</v>
      </c>
      <c r="G5" t="s">
        <v>100</v>
      </c>
      <c r="H5" t="s">
        <v>101</v>
      </c>
      <c r="I5" t="s">
        <v>100</v>
      </c>
      <c r="J5" t="s">
        <v>101</v>
      </c>
      <c r="K5" t="s">
        <v>100</v>
      </c>
      <c r="L5" t="s">
        <v>101</v>
      </c>
      <c r="M5" t="s">
        <v>100</v>
      </c>
      <c r="N5" t="s">
        <v>101</v>
      </c>
    </row>
    <row r="6" spans="1:17" x14ac:dyDescent="0.3">
      <c r="A6">
        <v>2015</v>
      </c>
      <c r="C6">
        <v>4.5999999999999996</v>
      </c>
      <c r="D6">
        <f>C6*P2</f>
        <v>16.559999999999999</v>
      </c>
      <c r="E6">
        <f>C6/0.83/0.85</f>
        <v>6.5201984408221119</v>
      </c>
      <c r="F6" s="6">
        <f>E6*P2</f>
        <v>23.472714386959602</v>
      </c>
      <c r="G6">
        <v>11.8</v>
      </c>
      <c r="H6" s="6">
        <f>G6*P2</f>
        <v>42.480000000000004</v>
      </c>
      <c r="I6">
        <f t="shared" ref="I6:I13" si="0">G6/0.85</f>
        <v>13.882352941176471</v>
      </c>
      <c r="J6" s="6">
        <f>I6*P2</f>
        <v>49.976470588235294</v>
      </c>
      <c r="K6">
        <f t="shared" ref="K6:K13" si="1">C6+G6</f>
        <v>16.399999999999999</v>
      </c>
      <c r="L6">
        <f>K6*P2</f>
        <v>59.04</v>
      </c>
      <c r="M6">
        <f t="shared" ref="M6:M13" si="2">E6+I6</f>
        <v>20.402551381998585</v>
      </c>
      <c r="N6">
        <f>M6*P2</f>
        <v>73.44918497519491</v>
      </c>
    </row>
    <row r="7" spans="1:17" x14ac:dyDescent="0.3">
      <c r="A7">
        <v>2020</v>
      </c>
      <c r="C7">
        <v>4.55</v>
      </c>
      <c r="D7">
        <f>C7*P2</f>
        <v>16.38</v>
      </c>
      <c r="E7">
        <f>C7/0.84/0.85</f>
        <v>6.3725490196078436</v>
      </c>
      <c r="F7" s="6">
        <f>E7*P2</f>
        <v>22.941176470588239</v>
      </c>
      <c r="G7">
        <v>12.45</v>
      </c>
      <c r="H7" s="6">
        <f>G7*P2</f>
        <v>44.82</v>
      </c>
      <c r="I7">
        <f t="shared" si="0"/>
        <v>14.647058823529411</v>
      </c>
      <c r="J7" s="6">
        <f>I7*P2</f>
        <v>52.72941176470588</v>
      </c>
      <c r="K7">
        <f t="shared" si="1"/>
        <v>17</v>
      </c>
      <c r="L7">
        <f>K7*P2</f>
        <v>61.2</v>
      </c>
      <c r="M7">
        <f t="shared" si="2"/>
        <v>21.019607843137255</v>
      </c>
      <c r="N7">
        <f>M7*P2</f>
        <v>75.670588235294119</v>
      </c>
    </row>
    <row r="8" spans="1:17" x14ac:dyDescent="0.3">
      <c r="A8">
        <v>2025</v>
      </c>
      <c r="C8">
        <v>4.5</v>
      </c>
      <c r="D8">
        <f>C8*P2</f>
        <v>16.2</v>
      </c>
      <c r="E8">
        <f>C8/0.85/0.85</f>
        <v>6.2283737024221457</v>
      </c>
      <c r="F8" s="6">
        <f>E8*P2</f>
        <v>22.422145328719726</v>
      </c>
      <c r="G8">
        <v>13</v>
      </c>
      <c r="H8" s="6">
        <f>G8*P2</f>
        <v>46.800000000000004</v>
      </c>
      <c r="I8">
        <f t="shared" si="0"/>
        <v>15.294117647058824</v>
      </c>
      <c r="J8" s="6">
        <f>I8*P2</f>
        <v>55.058823529411768</v>
      </c>
      <c r="K8">
        <f t="shared" si="1"/>
        <v>17.5</v>
      </c>
      <c r="L8">
        <f>K8*P2</f>
        <v>63</v>
      </c>
      <c r="M8">
        <f t="shared" si="2"/>
        <v>21.522491349480969</v>
      </c>
      <c r="N8">
        <f>M8*P2</f>
        <v>77.48096885813149</v>
      </c>
    </row>
    <row r="9" spans="1:17" x14ac:dyDescent="0.3">
      <c r="A9">
        <v>2030</v>
      </c>
      <c r="C9">
        <v>4.4400000000000004</v>
      </c>
      <c r="D9">
        <f>C9*P2</f>
        <v>15.984000000000002</v>
      </c>
      <c r="E9">
        <f>C9/0.85/0.85</f>
        <v>6.1453287197231843</v>
      </c>
      <c r="F9" s="6">
        <f>E9*P2</f>
        <v>22.123183391003465</v>
      </c>
      <c r="G9">
        <v>13.56</v>
      </c>
      <c r="H9" s="6">
        <f>G9*P2</f>
        <v>48.816000000000003</v>
      </c>
      <c r="I9">
        <f t="shared" si="0"/>
        <v>15.952941176470588</v>
      </c>
      <c r="J9" s="6">
        <f>I9*P2</f>
        <v>57.430588235294117</v>
      </c>
      <c r="K9">
        <f t="shared" si="1"/>
        <v>18</v>
      </c>
      <c r="L9">
        <f>K9*P2</f>
        <v>64.8</v>
      </c>
      <c r="M9">
        <f t="shared" si="2"/>
        <v>22.098269896193774</v>
      </c>
      <c r="N9">
        <f>M9*P2</f>
        <v>79.553771626297589</v>
      </c>
    </row>
    <row r="10" spans="1:17" x14ac:dyDescent="0.3">
      <c r="A10">
        <v>2035</v>
      </c>
      <c r="C10">
        <v>4.42</v>
      </c>
      <c r="D10">
        <f>C10*P2</f>
        <v>15.912000000000001</v>
      </c>
      <c r="E10">
        <f>C10/0.86/0.85</f>
        <v>6.0465116279069768</v>
      </c>
      <c r="F10" s="6">
        <f>E10*P2</f>
        <v>21.767441860465116</v>
      </c>
      <c r="G10">
        <v>13.53</v>
      </c>
      <c r="H10" s="6">
        <f>G10*P2</f>
        <v>48.707999999999998</v>
      </c>
      <c r="I10">
        <f t="shared" si="0"/>
        <v>15.91764705882353</v>
      </c>
      <c r="J10" s="6">
        <f>I10*P2</f>
        <v>57.303529411764707</v>
      </c>
      <c r="K10">
        <f t="shared" si="1"/>
        <v>17.95</v>
      </c>
      <c r="L10">
        <f>K10*P2</f>
        <v>64.62</v>
      </c>
      <c r="M10">
        <f t="shared" si="2"/>
        <v>21.964158686730507</v>
      </c>
      <c r="N10">
        <f>M10*P2</f>
        <v>79.070971272229826</v>
      </c>
    </row>
    <row r="11" spans="1:17" x14ac:dyDescent="0.3">
      <c r="A11">
        <v>2040</v>
      </c>
      <c r="C11">
        <v>4.4000000000000004</v>
      </c>
      <c r="D11">
        <f>C11*P2</f>
        <v>15.840000000000002</v>
      </c>
      <c r="E11">
        <f>C11/0.86/0.85</f>
        <v>6.0191518467852259</v>
      </c>
      <c r="F11" s="6">
        <f>E11*P2</f>
        <v>21.668946648426815</v>
      </c>
      <c r="G11">
        <v>13.5</v>
      </c>
      <c r="H11" s="6">
        <f>G11*P2</f>
        <v>48.6</v>
      </c>
      <c r="I11">
        <f t="shared" si="0"/>
        <v>15.882352941176471</v>
      </c>
      <c r="J11" s="6">
        <f>I11*P2</f>
        <v>57.176470588235297</v>
      </c>
      <c r="K11">
        <f t="shared" si="1"/>
        <v>17.899999999999999</v>
      </c>
      <c r="L11">
        <f>K11*P2</f>
        <v>64.44</v>
      </c>
      <c r="M11">
        <f t="shared" si="2"/>
        <v>21.901504787961699</v>
      </c>
      <c r="N11">
        <f>M11*P2</f>
        <v>78.845417236662115</v>
      </c>
    </row>
    <row r="12" spans="1:17" x14ac:dyDescent="0.3">
      <c r="A12">
        <v>2045</v>
      </c>
      <c r="C12">
        <v>4.3899999999999997</v>
      </c>
      <c r="D12">
        <f>C12*P2</f>
        <v>15.803999999999998</v>
      </c>
      <c r="E12">
        <f>C12/0.97/0.85</f>
        <v>5.324439053972104</v>
      </c>
      <c r="F12" s="6">
        <f>E12*P2</f>
        <v>19.167980594299575</v>
      </c>
      <c r="G12">
        <v>13.46</v>
      </c>
      <c r="H12" s="6">
        <f>G12*P2</f>
        <v>48.456000000000003</v>
      </c>
      <c r="I12">
        <f t="shared" si="0"/>
        <v>15.835294117647059</v>
      </c>
      <c r="J12" s="6">
        <f>I12*P2</f>
        <v>57.007058823529412</v>
      </c>
      <c r="K12">
        <f t="shared" si="1"/>
        <v>17.850000000000001</v>
      </c>
      <c r="L12">
        <f>K12*P2</f>
        <v>64.260000000000005</v>
      </c>
      <c r="M12">
        <f t="shared" si="2"/>
        <v>21.159733171619163</v>
      </c>
      <c r="N12">
        <f>M12*P2</f>
        <v>76.175039417828984</v>
      </c>
    </row>
    <row r="13" spans="1:17" x14ac:dyDescent="0.3">
      <c r="A13">
        <v>2050</v>
      </c>
      <c r="C13">
        <v>4.38</v>
      </c>
      <c r="D13">
        <f>C13*P2</f>
        <v>15.768000000000001</v>
      </c>
      <c r="E13">
        <f>C13/0.87/0.85</f>
        <v>5.922920892494929</v>
      </c>
      <c r="F13" s="6">
        <f>E13*P2</f>
        <v>21.322515212981745</v>
      </c>
      <c r="G13">
        <v>13.42</v>
      </c>
      <c r="H13" s="6">
        <f>G13*P2</f>
        <v>48.311999999999998</v>
      </c>
      <c r="I13">
        <f t="shared" si="0"/>
        <v>15.788235294117648</v>
      </c>
      <c r="J13" s="6">
        <f>I13*P2</f>
        <v>56.837647058823535</v>
      </c>
      <c r="K13">
        <f t="shared" si="1"/>
        <v>17.8</v>
      </c>
      <c r="L13">
        <f>K13*P2</f>
        <v>64.08</v>
      </c>
      <c r="M13">
        <f t="shared" si="2"/>
        <v>21.711156186612577</v>
      </c>
      <c r="N13">
        <f>M13*P2</f>
        <v>78.160162271805277</v>
      </c>
    </row>
    <row r="15" spans="1:17" x14ac:dyDescent="0.3">
      <c r="C15" t="s">
        <v>102</v>
      </c>
    </row>
    <row r="17" spans="1:14" x14ac:dyDescent="0.3">
      <c r="A17">
        <v>2015</v>
      </c>
      <c r="C17">
        <v>4.5999999999999996</v>
      </c>
      <c r="D17">
        <f>C17*P2</f>
        <v>16.559999999999999</v>
      </c>
      <c r="E17">
        <f>C17/0.83/0.85</f>
        <v>6.5201984408221119</v>
      </c>
      <c r="F17" s="6">
        <f>E17*P2</f>
        <v>23.472714386959602</v>
      </c>
      <c r="G17">
        <v>11.8</v>
      </c>
      <c r="H17">
        <f>G17*P2</f>
        <v>42.480000000000004</v>
      </c>
      <c r="I17">
        <f t="shared" ref="I17:I24" si="3">G17/0.85</f>
        <v>13.882352941176471</v>
      </c>
      <c r="J17" s="6">
        <f>I17*P2</f>
        <v>49.976470588235294</v>
      </c>
      <c r="K17">
        <f t="shared" ref="K17:K24" si="4">C17+G17</f>
        <v>16.399999999999999</v>
      </c>
      <c r="L17">
        <f>K17*P2</f>
        <v>59.04</v>
      </c>
      <c r="M17">
        <f>E17+I17</f>
        <v>20.402551381998585</v>
      </c>
      <c r="N17">
        <f>M17*P2</f>
        <v>73.44918497519491</v>
      </c>
    </row>
    <row r="18" spans="1:14" x14ac:dyDescent="0.3">
      <c r="A18">
        <v>2020</v>
      </c>
      <c r="C18">
        <v>4.4000000000000004</v>
      </c>
      <c r="D18">
        <f>C18*P2</f>
        <v>15.840000000000002</v>
      </c>
      <c r="E18">
        <f>C18/0.84/0.85</f>
        <v>6.162464985994399</v>
      </c>
      <c r="F18" s="6">
        <f>E18*P2</f>
        <v>22.184873949579838</v>
      </c>
      <c r="G18">
        <v>11.85</v>
      </c>
      <c r="H18">
        <f>G18*P2</f>
        <v>42.66</v>
      </c>
      <c r="I18">
        <f t="shared" si="3"/>
        <v>13.941176470588236</v>
      </c>
      <c r="J18" s="6">
        <f>I18*P2</f>
        <v>50.188235294117646</v>
      </c>
      <c r="K18">
        <f t="shared" si="4"/>
        <v>16.25</v>
      </c>
      <c r="L18">
        <f>K18*P2</f>
        <v>58.5</v>
      </c>
      <c r="M18">
        <f t="shared" ref="M18:M24" si="5">E18+I18</f>
        <v>20.103641456582636</v>
      </c>
      <c r="N18">
        <f>M18*P2</f>
        <v>72.373109243697499</v>
      </c>
    </row>
    <row r="19" spans="1:14" x14ac:dyDescent="0.3">
      <c r="A19">
        <v>2025</v>
      </c>
      <c r="C19">
        <v>4.2</v>
      </c>
      <c r="D19">
        <f>C19*P2</f>
        <v>15.120000000000001</v>
      </c>
      <c r="E19">
        <f>C19/0.85/0.85</f>
        <v>5.8131487889273359</v>
      </c>
      <c r="F19" s="6">
        <f>E19*P2</f>
        <v>20.927335640138409</v>
      </c>
      <c r="G19">
        <v>11.9</v>
      </c>
      <c r="H19">
        <f>G19*P2</f>
        <v>42.84</v>
      </c>
      <c r="I19">
        <f t="shared" si="3"/>
        <v>14</v>
      </c>
      <c r="J19" s="6">
        <f>I19*P2</f>
        <v>50.4</v>
      </c>
      <c r="K19">
        <f t="shared" si="4"/>
        <v>16.100000000000001</v>
      </c>
      <c r="L19">
        <f>K19*P2</f>
        <v>57.960000000000008</v>
      </c>
      <c r="M19">
        <f t="shared" si="5"/>
        <v>19.813148788927336</v>
      </c>
      <c r="N19">
        <f>M19*P2</f>
        <v>71.327335640138415</v>
      </c>
    </row>
    <row r="20" spans="1:14" x14ac:dyDescent="0.3">
      <c r="A20">
        <v>2030</v>
      </c>
      <c r="C20">
        <v>4.0599999999999996</v>
      </c>
      <c r="D20">
        <f>C20*P2</f>
        <v>14.616</v>
      </c>
      <c r="E20">
        <f>C20/0.86/0.85</f>
        <v>5.5540355677154576</v>
      </c>
      <c r="F20" s="6">
        <f>E20*P2</f>
        <v>19.994528043775649</v>
      </c>
      <c r="G20">
        <v>11.84</v>
      </c>
      <c r="H20">
        <f>G20*P2</f>
        <v>42.624000000000002</v>
      </c>
      <c r="I20">
        <f t="shared" si="3"/>
        <v>13.929411764705883</v>
      </c>
      <c r="J20" s="6">
        <f>I20*P2</f>
        <v>50.145882352941179</v>
      </c>
      <c r="K20">
        <f t="shared" si="4"/>
        <v>15.899999999999999</v>
      </c>
      <c r="L20">
        <f>K20*P2</f>
        <v>57.239999999999995</v>
      </c>
      <c r="M20">
        <f t="shared" si="5"/>
        <v>19.483447332421342</v>
      </c>
      <c r="N20">
        <f>M20*P2</f>
        <v>70.140410396716831</v>
      </c>
    </row>
    <row r="21" spans="1:14" x14ac:dyDescent="0.3">
      <c r="A21">
        <v>2035</v>
      </c>
      <c r="C21">
        <v>3.85</v>
      </c>
      <c r="D21">
        <f>C21*P2</f>
        <v>13.860000000000001</v>
      </c>
      <c r="E21">
        <f>C21/0.86/0.85</f>
        <v>5.2667578659370724</v>
      </c>
      <c r="F21" s="6">
        <f>E21*P2</f>
        <v>18.96032831737346</v>
      </c>
      <c r="G21">
        <v>11.15</v>
      </c>
      <c r="H21">
        <f>G21*P2</f>
        <v>40.14</v>
      </c>
      <c r="I21">
        <f t="shared" si="3"/>
        <v>13.117647058823531</v>
      </c>
      <c r="J21" s="6">
        <f>I21*P2</f>
        <v>47.223529411764709</v>
      </c>
      <c r="K21">
        <f t="shared" si="4"/>
        <v>15</v>
      </c>
      <c r="L21">
        <f>K21*P2</f>
        <v>54</v>
      </c>
      <c r="M21">
        <f t="shared" si="5"/>
        <v>18.384404924760602</v>
      </c>
      <c r="N21">
        <f>M21*P2</f>
        <v>66.183857729138168</v>
      </c>
    </row>
    <row r="22" spans="1:14" x14ac:dyDescent="0.3">
      <c r="A22">
        <v>2040</v>
      </c>
      <c r="C22">
        <v>3.7</v>
      </c>
      <c r="D22">
        <f>C22*P2</f>
        <v>13.32</v>
      </c>
      <c r="E22">
        <f>C22/0.87/0.85</f>
        <v>5.0033806626098718</v>
      </c>
      <c r="F22" s="6">
        <f>E22*P2</f>
        <v>18.012170385395539</v>
      </c>
      <c r="G22">
        <v>10.3</v>
      </c>
      <c r="H22">
        <f>G22*P2</f>
        <v>37.080000000000005</v>
      </c>
      <c r="I22">
        <f t="shared" si="3"/>
        <v>12.117647058823531</v>
      </c>
      <c r="J22" s="6">
        <f>I22*P2</f>
        <v>43.623529411764714</v>
      </c>
      <c r="K22">
        <f t="shared" si="4"/>
        <v>14</v>
      </c>
      <c r="L22">
        <f>K22*P2</f>
        <v>50.4</v>
      </c>
      <c r="M22">
        <f t="shared" si="5"/>
        <v>17.121027721433403</v>
      </c>
      <c r="N22">
        <f>M22*P2</f>
        <v>61.635699797160257</v>
      </c>
    </row>
    <row r="23" spans="1:14" x14ac:dyDescent="0.3">
      <c r="A23">
        <v>2045</v>
      </c>
      <c r="C23">
        <v>3.6</v>
      </c>
      <c r="D23">
        <f>C23*P2</f>
        <v>12.96</v>
      </c>
      <c r="E23">
        <f>C23/0.87/0.85</f>
        <v>4.8681541582150105</v>
      </c>
      <c r="F23" s="6">
        <f>E23*P2</f>
        <v>17.525354969574039</v>
      </c>
      <c r="G23">
        <v>9.5</v>
      </c>
      <c r="H23">
        <f>G23*P2</f>
        <v>34.200000000000003</v>
      </c>
      <c r="I23">
        <f t="shared" si="3"/>
        <v>11.176470588235295</v>
      </c>
      <c r="J23" s="6">
        <f>I23*P2</f>
        <v>40.235294117647065</v>
      </c>
      <c r="K23">
        <f t="shared" si="4"/>
        <v>13.1</v>
      </c>
      <c r="L23">
        <f>K23*P2</f>
        <v>47.16</v>
      </c>
      <c r="M23">
        <f t="shared" si="5"/>
        <v>16.044624746450307</v>
      </c>
      <c r="N23">
        <f>M23*P2</f>
        <v>57.760649087221104</v>
      </c>
    </row>
    <row r="24" spans="1:14" x14ac:dyDescent="0.3">
      <c r="A24">
        <v>2050</v>
      </c>
      <c r="C24">
        <v>3.54</v>
      </c>
      <c r="D24">
        <f>C24*P2</f>
        <v>12.744</v>
      </c>
      <c r="E24">
        <f>C24/0.88/0.85</f>
        <v>4.7326203208556148</v>
      </c>
      <c r="F24" s="6">
        <f>E24*P2</f>
        <v>17.037433155080215</v>
      </c>
      <c r="G24">
        <v>8.66</v>
      </c>
      <c r="H24">
        <f>G24*P2</f>
        <v>31.176000000000002</v>
      </c>
      <c r="I24">
        <f t="shared" si="3"/>
        <v>10.188235294117648</v>
      </c>
      <c r="J24" s="6">
        <f>I24*P2</f>
        <v>36.677647058823531</v>
      </c>
      <c r="K24">
        <f t="shared" si="4"/>
        <v>12.2</v>
      </c>
      <c r="L24">
        <f>K24*P2</f>
        <v>43.92</v>
      </c>
      <c r="M24">
        <f t="shared" si="5"/>
        <v>14.920855614973263</v>
      </c>
      <c r="N24">
        <f>M24*P2</f>
        <v>53.715080213903747</v>
      </c>
    </row>
    <row r="26" spans="1:14" x14ac:dyDescent="0.3">
      <c r="C26" t="s">
        <v>103</v>
      </c>
    </row>
    <row r="28" spans="1:14" x14ac:dyDescent="0.3">
      <c r="A28">
        <v>2015</v>
      </c>
      <c r="C28">
        <v>4.5999999999999996</v>
      </c>
      <c r="D28">
        <f>C28*P2</f>
        <v>16.559999999999999</v>
      </c>
      <c r="E28">
        <f>C28/0.83/0.85</f>
        <v>6.5201984408221119</v>
      </c>
      <c r="F28" s="6">
        <f>E28*P2</f>
        <v>23.472714386959602</v>
      </c>
      <c r="G28">
        <v>11.8</v>
      </c>
      <c r="H28">
        <f>G28*P2</f>
        <v>42.480000000000004</v>
      </c>
      <c r="I28">
        <f t="shared" ref="I28:I35" si="6">G28/0.85</f>
        <v>13.882352941176471</v>
      </c>
      <c r="J28" s="6">
        <f>I28*P2</f>
        <v>49.976470588235294</v>
      </c>
      <c r="K28">
        <f t="shared" ref="K28:K35" si="7">C28+G28</f>
        <v>16.399999999999999</v>
      </c>
      <c r="L28">
        <f>K28*P2</f>
        <v>59.04</v>
      </c>
      <c r="M28">
        <f t="shared" ref="M28:M35" si="8">E28+I28</f>
        <v>20.402551381998585</v>
      </c>
      <c r="N28">
        <f>M28*P2</f>
        <v>73.44918497519491</v>
      </c>
    </row>
    <row r="29" spans="1:14" x14ac:dyDescent="0.3">
      <c r="A29">
        <v>2020</v>
      </c>
      <c r="C29">
        <v>4.2</v>
      </c>
      <c r="D29">
        <f>C29*P2</f>
        <v>15.120000000000001</v>
      </c>
      <c r="E29">
        <f>C29/0.84/0.85</f>
        <v>5.882352941176471</v>
      </c>
      <c r="F29" s="6">
        <f>E29*P2</f>
        <v>21.176470588235297</v>
      </c>
      <c r="G29">
        <v>11.6</v>
      </c>
      <c r="H29">
        <f>G29*P2</f>
        <v>41.76</v>
      </c>
      <c r="I29">
        <f t="shared" si="6"/>
        <v>13.647058823529411</v>
      </c>
      <c r="J29" s="6">
        <f>I29*P2</f>
        <v>49.129411764705878</v>
      </c>
      <c r="K29">
        <f t="shared" si="7"/>
        <v>15.8</v>
      </c>
      <c r="L29">
        <f>K29*P2</f>
        <v>56.88</v>
      </c>
      <c r="M29">
        <f t="shared" si="8"/>
        <v>19.529411764705884</v>
      </c>
      <c r="N29">
        <f>M29*P2</f>
        <v>70.305882352941182</v>
      </c>
    </row>
    <row r="30" spans="1:14" x14ac:dyDescent="0.3">
      <c r="A30">
        <v>2025</v>
      </c>
      <c r="C30">
        <v>3.8</v>
      </c>
      <c r="D30">
        <f>C30*P2</f>
        <v>13.68</v>
      </c>
      <c r="E30">
        <f>C30/0.86/0.85</f>
        <v>5.198358413132695</v>
      </c>
      <c r="F30" s="6">
        <f>E30*P2</f>
        <v>18.714090287277703</v>
      </c>
      <c r="G30">
        <v>11.4</v>
      </c>
      <c r="H30">
        <f>G30*P2</f>
        <v>41.04</v>
      </c>
      <c r="I30">
        <f t="shared" si="6"/>
        <v>13.411764705882353</v>
      </c>
      <c r="J30" s="6">
        <f>I30*P2</f>
        <v>48.28235294117647</v>
      </c>
      <c r="K30">
        <f t="shared" si="7"/>
        <v>15.2</v>
      </c>
      <c r="L30">
        <f>K30*P2</f>
        <v>54.72</v>
      </c>
      <c r="M30">
        <f t="shared" si="8"/>
        <v>18.61012311901505</v>
      </c>
      <c r="N30">
        <f>M30*P2</f>
        <v>66.996443228454183</v>
      </c>
    </row>
    <row r="31" spans="1:14" x14ac:dyDescent="0.3">
      <c r="A31">
        <v>2030</v>
      </c>
      <c r="C31">
        <v>3.54</v>
      </c>
      <c r="D31">
        <f>C31*P2</f>
        <v>12.744</v>
      </c>
      <c r="E31">
        <f>C31/0.88/0.85</f>
        <v>4.7326203208556148</v>
      </c>
      <c r="F31" s="6">
        <f>E31*P2</f>
        <v>17.037433155080215</v>
      </c>
      <c r="G31">
        <v>11.06</v>
      </c>
      <c r="H31">
        <f>G31*P2</f>
        <v>39.816000000000003</v>
      </c>
      <c r="I31">
        <f t="shared" si="6"/>
        <v>13.011764705882355</v>
      </c>
      <c r="J31" s="6">
        <f>I31*P2</f>
        <v>46.842352941176479</v>
      </c>
      <c r="K31">
        <f t="shared" si="7"/>
        <v>14.600000000000001</v>
      </c>
      <c r="L31">
        <f>K31*P2</f>
        <v>52.560000000000009</v>
      </c>
      <c r="M31">
        <f t="shared" si="8"/>
        <v>17.744385026737969</v>
      </c>
      <c r="N31">
        <f>M31*P2</f>
        <v>63.879786096256694</v>
      </c>
    </row>
    <row r="32" spans="1:14" x14ac:dyDescent="0.3">
      <c r="A32">
        <v>2035</v>
      </c>
      <c r="C32">
        <v>3.2</v>
      </c>
      <c r="D32">
        <f>C32*P2</f>
        <v>11.520000000000001</v>
      </c>
      <c r="E32">
        <f>C32/0.88/0.85</f>
        <v>4.2780748663101607</v>
      </c>
      <c r="F32" s="6">
        <f>E32*P2</f>
        <v>15.401069518716579</v>
      </c>
      <c r="G32">
        <v>10.1</v>
      </c>
      <c r="H32">
        <f>G32*P2</f>
        <v>36.36</v>
      </c>
      <c r="I32">
        <f t="shared" si="6"/>
        <v>11.882352941176471</v>
      </c>
      <c r="J32" s="6">
        <f>I32*P2</f>
        <v>42.776470588235298</v>
      </c>
      <c r="K32">
        <f t="shared" si="7"/>
        <v>13.3</v>
      </c>
      <c r="L32">
        <f>K32*P2</f>
        <v>47.88</v>
      </c>
      <c r="M32">
        <f t="shared" si="8"/>
        <v>16.160427807486631</v>
      </c>
      <c r="N32">
        <f>M32*P2</f>
        <v>58.177540106951874</v>
      </c>
    </row>
    <row r="33" spans="1:14" x14ac:dyDescent="0.3">
      <c r="A33">
        <v>2040</v>
      </c>
      <c r="C33">
        <v>2.8</v>
      </c>
      <c r="D33">
        <f>C33*P2</f>
        <v>10.08</v>
      </c>
      <c r="E33">
        <f>C33/0.89/0.85</f>
        <v>3.7012557832121611</v>
      </c>
      <c r="F33" s="6">
        <f>E33*P2</f>
        <v>13.32452081956378</v>
      </c>
      <c r="G33">
        <v>9.1999999999999993</v>
      </c>
      <c r="H33">
        <f>G33*P2</f>
        <v>33.119999999999997</v>
      </c>
      <c r="I33">
        <f t="shared" si="6"/>
        <v>10.823529411764705</v>
      </c>
      <c r="J33" s="6">
        <f>I33*P2</f>
        <v>38.964705882352938</v>
      </c>
      <c r="K33">
        <f t="shared" si="7"/>
        <v>12</v>
      </c>
      <c r="L33">
        <f>K33*P2</f>
        <v>43.2</v>
      </c>
      <c r="M33">
        <f t="shared" si="8"/>
        <v>14.524785194976866</v>
      </c>
      <c r="N33">
        <f>M33*P2</f>
        <v>52.289226701916718</v>
      </c>
    </row>
    <row r="34" spans="1:14" x14ac:dyDescent="0.3">
      <c r="A34">
        <v>2045</v>
      </c>
      <c r="C34">
        <v>2.5</v>
      </c>
      <c r="D34">
        <f>C34*P2</f>
        <v>9</v>
      </c>
      <c r="E34">
        <f>C34/0.89/0.85</f>
        <v>3.3046926635822866</v>
      </c>
      <c r="F34" s="6">
        <f>E34*P2</f>
        <v>11.896893588896232</v>
      </c>
      <c r="G34">
        <v>8.4</v>
      </c>
      <c r="H34">
        <f>G34*P2</f>
        <v>30.240000000000002</v>
      </c>
      <c r="I34">
        <f t="shared" si="6"/>
        <v>9.882352941176471</v>
      </c>
      <c r="J34" s="6">
        <f>I34*P2</f>
        <v>35.576470588235296</v>
      </c>
      <c r="K34">
        <f t="shared" si="7"/>
        <v>10.9</v>
      </c>
      <c r="L34">
        <f>K34*P2</f>
        <v>39.24</v>
      </c>
      <c r="M34">
        <f t="shared" si="8"/>
        <v>13.187045604758758</v>
      </c>
      <c r="N34">
        <f>M34*P2</f>
        <v>47.473364177131529</v>
      </c>
    </row>
    <row r="35" spans="1:14" x14ac:dyDescent="0.3">
      <c r="A35">
        <v>2050</v>
      </c>
      <c r="C35">
        <v>2.2000000000000002</v>
      </c>
      <c r="D35">
        <f>C35*P2</f>
        <v>7.9200000000000008</v>
      </c>
      <c r="E35">
        <f>C35/0.9/0.85</f>
        <v>2.8758169934640527</v>
      </c>
      <c r="F35" s="6">
        <f>E35*P2</f>
        <v>10.352941176470591</v>
      </c>
      <c r="G35">
        <v>7.6</v>
      </c>
      <c r="H35">
        <f>G35*P2</f>
        <v>27.36</v>
      </c>
      <c r="I35">
        <f t="shared" si="6"/>
        <v>8.9411764705882355</v>
      </c>
      <c r="J35" s="6">
        <f>I35*P2</f>
        <v>32.188235294117646</v>
      </c>
      <c r="K35">
        <f t="shared" si="7"/>
        <v>9.8000000000000007</v>
      </c>
      <c r="L35">
        <f>K35*P2</f>
        <v>35.28</v>
      </c>
      <c r="M35">
        <f t="shared" si="8"/>
        <v>11.816993464052288</v>
      </c>
      <c r="N35">
        <f>M35*P2</f>
        <v>42.54117647058824</v>
      </c>
    </row>
  </sheetData>
  <pageMargins left="0.7" right="0.7" top="0.75" bottom="0.75" header="0.3" footer="0.3"/>
  <pageSetup paperSize="9" orientation="landscape" r:id="rId1"/>
  <ignoredErrors>
    <ignoredError sqref="L6:L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1"/>
  <sheetViews>
    <sheetView topLeftCell="L4" workbookViewId="0">
      <selection activeCell="A18" sqref="A18:B18"/>
    </sheetView>
  </sheetViews>
  <sheetFormatPr defaultRowHeight="14.4" x14ac:dyDescent="0.3"/>
  <sheetData>
    <row r="1" spans="1:71" x14ac:dyDescent="0.3">
      <c r="A1" t="s">
        <v>106</v>
      </c>
    </row>
    <row r="3" spans="1:71" x14ac:dyDescent="0.3">
      <c r="C3" t="s">
        <v>51</v>
      </c>
      <c r="G3" t="s">
        <v>107</v>
      </c>
      <c r="M3" t="s">
        <v>108</v>
      </c>
      <c r="S3" t="s">
        <v>113</v>
      </c>
      <c r="Y3" t="s">
        <v>115</v>
      </c>
      <c r="AE3" t="s">
        <v>117</v>
      </c>
      <c r="AK3" t="s">
        <v>118</v>
      </c>
      <c r="AQ3" t="s">
        <v>119</v>
      </c>
      <c r="AW3" t="s">
        <v>124</v>
      </c>
      <c r="BC3" t="s">
        <v>120</v>
      </c>
      <c r="BI3" t="s">
        <v>121</v>
      </c>
      <c r="BO3" t="s">
        <v>122</v>
      </c>
    </row>
    <row r="4" spans="1:71" x14ac:dyDescent="0.3">
      <c r="C4" t="s">
        <v>100</v>
      </c>
      <c r="D4" t="s">
        <v>101</v>
      </c>
      <c r="E4" t="s">
        <v>101</v>
      </c>
      <c r="F4" t="s">
        <v>101</v>
      </c>
      <c r="G4" t="s">
        <v>100</v>
      </c>
      <c r="H4" t="s">
        <v>101</v>
      </c>
      <c r="K4" t="s">
        <v>125</v>
      </c>
      <c r="L4" t="s">
        <v>116</v>
      </c>
      <c r="M4" t="s">
        <v>100</v>
      </c>
      <c r="N4" t="s">
        <v>101</v>
      </c>
      <c r="Q4" t="s">
        <v>125</v>
      </c>
      <c r="R4" t="s">
        <v>116</v>
      </c>
      <c r="S4" t="s">
        <v>100</v>
      </c>
      <c r="T4" t="s">
        <v>101</v>
      </c>
      <c r="W4" t="s">
        <v>125</v>
      </c>
      <c r="X4" t="s">
        <v>123</v>
      </c>
      <c r="Y4" t="s">
        <v>100</v>
      </c>
      <c r="Z4" t="s">
        <v>101</v>
      </c>
      <c r="AC4" t="s">
        <v>125</v>
      </c>
      <c r="AD4" t="s">
        <v>116</v>
      </c>
      <c r="AE4" t="s">
        <v>100</v>
      </c>
      <c r="AF4" t="s">
        <v>101</v>
      </c>
      <c r="AI4" t="s">
        <v>125</v>
      </c>
      <c r="AJ4" t="s">
        <v>116</v>
      </c>
      <c r="AK4" t="s">
        <v>100</v>
      </c>
      <c r="AL4" t="s">
        <v>101</v>
      </c>
      <c r="AO4" t="s">
        <v>125</v>
      </c>
      <c r="AP4" t="s">
        <v>116</v>
      </c>
      <c r="AQ4" t="s">
        <v>100</v>
      </c>
      <c r="AR4" t="s">
        <v>101</v>
      </c>
      <c r="AU4" t="s">
        <v>109</v>
      </c>
      <c r="AV4" t="s">
        <v>114</v>
      </c>
      <c r="AW4" t="s">
        <v>100</v>
      </c>
      <c r="AX4" t="s">
        <v>101</v>
      </c>
      <c r="BA4" t="s">
        <v>109</v>
      </c>
      <c r="BB4" t="s">
        <v>116</v>
      </c>
      <c r="BC4" t="s">
        <v>100</v>
      </c>
      <c r="BD4" t="s">
        <v>101</v>
      </c>
      <c r="BG4" t="s">
        <v>109</v>
      </c>
      <c r="BH4" t="s">
        <v>116</v>
      </c>
      <c r="BI4" t="s">
        <v>100</v>
      </c>
      <c r="BJ4" t="s">
        <v>101</v>
      </c>
      <c r="BM4" t="s">
        <v>109</v>
      </c>
      <c r="BN4" t="s">
        <v>116</v>
      </c>
      <c r="BO4" t="s">
        <v>100</v>
      </c>
      <c r="BP4" t="s">
        <v>101</v>
      </c>
      <c r="BS4" t="s">
        <v>109</v>
      </c>
    </row>
    <row r="5" spans="1:71" x14ac:dyDescent="0.3">
      <c r="A5" t="s">
        <v>110</v>
      </c>
      <c r="E5" t="s">
        <v>37</v>
      </c>
      <c r="F5" t="s">
        <v>132</v>
      </c>
      <c r="I5" t="s">
        <v>37</v>
      </c>
      <c r="J5" t="s">
        <v>132</v>
      </c>
      <c r="O5" t="s">
        <v>37</v>
      </c>
      <c r="P5" t="s">
        <v>132</v>
      </c>
      <c r="U5" t="s">
        <v>37</v>
      </c>
      <c r="V5" t="s">
        <v>132</v>
      </c>
      <c r="AA5" t="s">
        <v>37</v>
      </c>
      <c r="AB5" t="s">
        <v>132</v>
      </c>
      <c r="AG5" t="s">
        <v>37</v>
      </c>
      <c r="AH5" t="s">
        <v>132</v>
      </c>
      <c r="AM5" t="s">
        <v>37</v>
      </c>
      <c r="AN5" t="s">
        <v>132</v>
      </c>
      <c r="AS5" t="s">
        <v>37</v>
      </c>
      <c r="AT5" t="s">
        <v>132</v>
      </c>
      <c r="AY5" t="s">
        <v>37</v>
      </c>
      <c r="AZ5" t="s">
        <v>132</v>
      </c>
      <c r="BE5" t="s">
        <v>37</v>
      </c>
      <c r="BF5" t="s">
        <v>132</v>
      </c>
      <c r="BK5" t="s">
        <v>37</v>
      </c>
      <c r="BL5" t="s">
        <v>132</v>
      </c>
      <c r="BQ5" t="s">
        <v>37</v>
      </c>
      <c r="BR5" t="s">
        <v>132</v>
      </c>
    </row>
    <row r="6" spans="1:71" x14ac:dyDescent="0.3">
      <c r="A6">
        <v>2015</v>
      </c>
      <c r="C6">
        <v>20.399999999999999</v>
      </c>
      <c r="D6">
        <v>73.400000000000006</v>
      </c>
      <c r="E6">
        <v>23.47</v>
      </c>
      <c r="F6">
        <v>49.98</v>
      </c>
      <c r="G6" s="4">
        <v>6.5</v>
      </c>
      <c r="H6">
        <f t="shared" ref="H6:H13" si="0">G6*3.6</f>
        <v>23.400000000000002</v>
      </c>
      <c r="I6">
        <f>H6-J6</f>
        <v>13.080000000000002</v>
      </c>
      <c r="J6">
        <v>10.32</v>
      </c>
      <c r="K6">
        <f>G6*18</f>
        <v>117</v>
      </c>
      <c r="L6" s="7">
        <f t="shared" ref="L6:L13" si="1">G6/2.9*1000</f>
        <v>2241.3793103448279</v>
      </c>
      <c r="M6" s="4">
        <v>3.7</v>
      </c>
      <c r="N6" s="4">
        <f t="shared" ref="N6:N13" si="2">M6*3.6</f>
        <v>13.32</v>
      </c>
      <c r="O6" s="4">
        <v>0</v>
      </c>
      <c r="P6" s="4">
        <v>13.3</v>
      </c>
      <c r="Q6" s="7">
        <f>86*R6/1000</f>
        <v>60.609523809523814</v>
      </c>
      <c r="R6" s="7">
        <f t="shared" ref="R6:R13" si="3">M6/5.25*1000</f>
        <v>704.76190476190482</v>
      </c>
      <c r="S6" s="4">
        <v>6.2</v>
      </c>
      <c r="T6" s="4">
        <f t="shared" ref="T6:T13" si="4">S6*3.6</f>
        <v>22.32</v>
      </c>
      <c r="U6" s="4">
        <v>3.3</v>
      </c>
      <c r="V6" s="4">
        <v>19</v>
      </c>
      <c r="W6" s="7">
        <f>T6*10.06</f>
        <v>224.53920000000002</v>
      </c>
      <c r="X6" s="7">
        <f t="shared" ref="X6:X13" si="5">T6/33.5*1000</f>
        <v>666.26865671641792</v>
      </c>
      <c r="Y6" s="4">
        <v>1.4</v>
      </c>
      <c r="Z6" s="4">
        <f>Y6*3.6</f>
        <v>5.04</v>
      </c>
      <c r="AA6" s="4">
        <v>5</v>
      </c>
      <c r="AB6" s="4">
        <v>0</v>
      </c>
      <c r="AC6" s="7">
        <f>Z6*6.4</f>
        <v>32.256</v>
      </c>
      <c r="AD6">
        <f>Z6/8.4*1000</f>
        <v>600</v>
      </c>
      <c r="AE6" s="4">
        <v>1.2</v>
      </c>
      <c r="AF6" s="6">
        <f t="shared" ref="AF6:AF11" si="6">AE6*3.6</f>
        <v>4.32</v>
      </c>
      <c r="AG6" s="4">
        <v>0</v>
      </c>
      <c r="AH6" s="4">
        <v>4.32</v>
      </c>
      <c r="AI6" s="7">
        <f>AF6*10.27</f>
        <v>44.366399999999999</v>
      </c>
      <c r="AJ6" s="7">
        <f t="shared" ref="AJ6:AJ11" si="7">AE6/10.8*1000</f>
        <v>111.1111111111111</v>
      </c>
      <c r="AK6" s="4">
        <v>0.4</v>
      </c>
      <c r="AL6" s="4">
        <f t="shared" ref="AL6:AL13" si="8">AK6*3.6</f>
        <v>1.4400000000000002</v>
      </c>
      <c r="AM6" s="4">
        <v>0.6</v>
      </c>
      <c r="AN6" s="4">
        <v>0.8</v>
      </c>
      <c r="AO6">
        <f>AK6*12.5</f>
        <v>5</v>
      </c>
      <c r="AP6" s="7">
        <f t="shared" ref="AP6:AP13" si="9">AK6/2.8*1000</f>
        <v>142.85714285714289</v>
      </c>
      <c r="AQ6" s="4">
        <v>0.4</v>
      </c>
      <c r="AR6" s="4">
        <f t="shared" ref="AR6:AR13" si="10">AQ6*3.6</f>
        <v>1.4400000000000002</v>
      </c>
      <c r="AS6" s="4">
        <v>1.4</v>
      </c>
      <c r="AT6" s="4">
        <v>0</v>
      </c>
      <c r="AU6">
        <v>0</v>
      </c>
      <c r="AV6">
        <v>215</v>
      </c>
      <c r="AW6">
        <v>0.3</v>
      </c>
      <c r="AX6" s="28">
        <f>AW6*3.6</f>
        <v>1.08</v>
      </c>
      <c r="AY6" s="28">
        <v>0</v>
      </c>
      <c r="AZ6" s="28">
        <v>1.1000000000000001</v>
      </c>
      <c r="BA6">
        <v>0</v>
      </c>
      <c r="BB6" s="7">
        <f t="shared" ref="BB6:BB13" si="11">AW6/5.1*1000</f>
        <v>58.823529411764703</v>
      </c>
      <c r="BC6" s="4">
        <v>0.1</v>
      </c>
      <c r="BD6" s="6">
        <v>0.36</v>
      </c>
      <c r="BE6" s="4">
        <v>0</v>
      </c>
      <c r="BF6" s="6">
        <v>0.36</v>
      </c>
      <c r="BG6" s="7">
        <f>BD6*13.7</f>
        <v>4.9319999999999995</v>
      </c>
      <c r="BH6" s="7">
        <f t="shared" ref="BH6:BH13" si="12">BC6/11.6*1000</f>
        <v>8.6206896551724128</v>
      </c>
      <c r="BI6" s="4">
        <v>0.1</v>
      </c>
      <c r="BJ6" s="4">
        <f t="shared" ref="BJ6:BJ13" si="13">BI6*3.6</f>
        <v>0.36000000000000004</v>
      </c>
      <c r="BK6" s="4">
        <v>0</v>
      </c>
      <c r="BL6" s="4">
        <v>0.4</v>
      </c>
      <c r="BM6" s="7">
        <f>BJ6*4</f>
        <v>1.4400000000000002</v>
      </c>
      <c r="BN6" s="7">
        <f t="shared" ref="BN6:BN13" si="14">BI6/7*1000</f>
        <v>14.285714285714286</v>
      </c>
      <c r="BO6" s="4">
        <v>0.1</v>
      </c>
      <c r="BP6" s="4">
        <f t="shared" ref="BP6:BP13" si="15">BO6*3.6</f>
        <v>0.36000000000000004</v>
      </c>
      <c r="BQ6" s="4">
        <v>0</v>
      </c>
      <c r="BR6" s="4">
        <v>0.4</v>
      </c>
      <c r="BS6" s="28"/>
    </row>
    <row r="7" spans="1:71" x14ac:dyDescent="0.3">
      <c r="A7">
        <v>2020</v>
      </c>
      <c r="C7" s="4">
        <v>21.019607843137255</v>
      </c>
      <c r="D7" s="4">
        <v>75.670588235294119</v>
      </c>
      <c r="E7" s="4">
        <v>22.94</v>
      </c>
      <c r="F7" s="4">
        <v>52.73</v>
      </c>
      <c r="G7">
        <v>6.7</v>
      </c>
      <c r="H7" s="4">
        <f t="shared" si="0"/>
        <v>24.12</v>
      </c>
      <c r="I7" s="4">
        <v>13.1</v>
      </c>
      <c r="J7" s="4">
        <v>12</v>
      </c>
      <c r="K7" s="7">
        <f>H7*5.4</f>
        <v>130.24800000000002</v>
      </c>
      <c r="L7" s="7">
        <f t="shared" si="1"/>
        <v>2310.344827586207</v>
      </c>
      <c r="M7">
        <v>3.7</v>
      </c>
      <c r="N7" s="4">
        <f t="shared" si="2"/>
        <v>13.32</v>
      </c>
      <c r="O7" s="4">
        <v>0</v>
      </c>
      <c r="P7" s="4">
        <v>13.3</v>
      </c>
      <c r="Q7" s="7">
        <f>92.6*R7/1000</f>
        <v>65.260952380952375</v>
      </c>
      <c r="R7" s="7">
        <f t="shared" si="3"/>
        <v>704.76190476190482</v>
      </c>
      <c r="S7">
        <v>6.5</v>
      </c>
      <c r="T7">
        <f t="shared" si="4"/>
        <v>23.400000000000002</v>
      </c>
      <c r="U7">
        <v>3.4</v>
      </c>
      <c r="V7" s="4">
        <v>20</v>
      </c>
      <c r="W7" s="7">
        <f>T7*10.21</f>
        <v>238.91400000000004</v>
      </c>
      <c r="X7" s="7">
        <f t="shared" si="5"/>
        <v>698.50746268656724</v>
      </c>
      <c r="Y7">
        <v>0.1</v>
      </c>
      <c r="Z7">
        <f>Y7*3.6</f>
        <v>0.36000000000000004</v>
      </c>
      <c r="AA7">
        <v>0.36</v>
      </c>
      <c r="AB7">
        <v>0</v>
      </c>
      <c r="AC7" s="7">
        <f>Z7*6.18</f>
        <v>2.2248000000000001</v>
      </c>
      <c r="AD7" s="7">
        <f>Z7/8.4*1000</f>
        <v>42.857142857142854</v>
      </c>
      <c r="AE7">
        <v>1.1000000000000001</v>
      </c>
      <c r="AF7" s="6">
        <f t="shared" si="6"/>
        <v>3.9600000000000004</v>
      </c>
      <c r="AG7">
        <v>0</v>
      </c>
      <c r="AH7">
        <v>3.96</v>
      </c>
      <c r="AI7" s="7">
        <f>AF7*10.65</f>
        <v>42.174000000000007</v>
      </c>
      <c r="AJ7" s="7">
        <f t="shared" si="7"/>
        <v>101.85185185185186</v>
      </c>
      <c r="AK7">
        <v>0.4</v>
      </c>
      <c r="AL7">
        <f t="shared" si="8"/>
        <v>1.4400000000000002</v>
      </c>
      <c r="AM7">
        <v>0.6</v>
      </c>
      <c r="AN7">
        <v>0.84</v>
      </c>
      <c r="AO7" s="7">
        <f>AK7*13.4</f>
        <v>5.36</v>
      </c>
      <c r="AP7" s="7">
        <f t="shared" si="9"/>
        <v>142.85714285714289</v>
      </c>
      <c r="AQ7">
        <v>0.4</v>
      </c>
      <c r="AR7" s="4">
        <f t="shared" si="10"/>
        <v>1.4400000000000002</v>
      </c>
      <c r="AS7">
        <v>1.4</v>
      </c>
      <c r="AT7">
        <v>0</v>
      </c>
      <c r="AV7">
        <v>215</v>
      </c>
      <c r="AW7">
        <v>0.3</v>
      </c>
      <c r="AX7" s="4">
        <f t="shared" ref="AX7:AX13" si="16">AW7*3.6</f>
        <v>1.08</v>
      </c>
      <c r="AY7">
        <v>0</v>
      </c>
      <c r="AZ7">
        <v>1.1000000000000001</v>
      </c>
      <c r="BB7" s="7">
        <f t="shared" si="11"/>
        <v>58.823529411764703</v>
      </c>
      <c r="BC7">
        <v>0.1</v>
      </c>
      <c r="BD7">
        <f t="shared" ref="BD7:BD13" si="17">BC7*3.6</f>
        <v>0.36000000000000004</v>
      </c>
      <c r="BE7">
        <v>0</v>
      </c>
      <c r="BF7">
        <v>0.36</v>
      </c>
      <c r="BG7" s="4">
        <f>BD7*14.6</f>
        <v>5.2560000000000002</v>
      </c>
      <c r="BH7" s="7">
        <f t="shared" si="12"/>
        <v>8.6206896551724128</v>
      </c>
      <c r="BI7">
        <v>1.5</v>
      </c>
      <c r="BJ7">
        <f t="shared" si="13"/>
        <v>5.4</v>
      </c>
      <c r="BK7">
        <v>5</v>
      </c>
      <c r="BL7" s="4">
        <v>0.4</v>
      </c>
      <c r="BM7" s="4">
        <f>BJ7*3.3125</f>
        <v>17.887500000000003</v>
      </c>
      <c r="BN7" s="7">
        <f t="shared" si="14"/>
        <v>214.28571428571428</v>
      </c>
      <c r="BO7">
        <v>0.2</v>
      </c>
      <c r="BP7">
        <f t="shared" si="15"/>
        <v>0.72000000000000008</v>
      </c>
      <c r="BQ7">
        <v>0</v>
      </c>
      <c r="BR7">
        <v>0.72</v>
      </c>
    </row>
    <row r="8" spans="1:71" x14ac:dyDescent="0.3">
      <c r="A8">
        <v>2025</v>
      </c>
      <c r="C8" s="4">
        <v>21.522491349480969</v>
      </c>
      <c r="D8" s="4">
        <v>77.48096885813149</v>
      </c>
      <c r="E8" s="4">
        <v>22.42</v>
      </c>
      <c r="F8" s="4">
        <v>55.06</v>
      </c>
      <c r="G8">
        <v>7.5</v>
      </c>
      <c r="H8">
        <f t="shared" si="0"/>
        <v>27</v>
      </c>
      <c r="I8" s="4">
        <v>13.52</v>
      </c>
      <c r="J8">
        <v>13.48</v>
      </c>
      <c r="K8" s="7">
        <f>H8*5.9</f>
        <v>159.30000000000001</v>
      </c>
      <c r="L8" s="7">
        <f t="shared" si="1"/>
        <v>2586.2068965517242</v>
      </c>
      <c r="M8">
        <v>3.7</v>
      </c>
      <c r="N8" s="4">
        <f t="shared" si="2"/>
        <v>13.32</v>
      </c>
      <c r="O8">
        <v>0</v>
      </c>
      <c r="P8">
        <v>13.3</v>
      </c>
      <c r="Q8" s="7">
        <f>99.7*R8/1000</f>
        <v>70.264761904761912</v>
      </c>
      <c r="R8" s="7">
        <f t="shared" si="3"/>
        <v>704.76190476190482</v>
      </c>
      <c r="S8">
        <v>6.1</v>
      </c>
      <c r="T8">
        <f t="shared" si="4"/>
        <v>21.96</v>
      </c>
      <c r="U8">
        <v>0.96</v>
      </c>
      <c r="V8">
        <v>20</v>
      </c>
      <c r="W8" s="7">
        <f>T8*10.45</f>
        <v>229.482</v>
      </c>
      <c r="X8" s="7">
        <f t="shared" si="5"/>
        <v>655.52238805970148</v>
      </c>
      <c r="Y8">
        <v>0.1</v>
      </c>
      <c r="Z8">
        <f>Y8*3.6</f>
        <v>0.36000000000000004</v>
      </c>
      <c r="AA8">
        <v>0.36</v>
      </c>
      <c r="AB8">
        <v>0</v>
      </c>
      <c r="AC8" s="7">
        <f>Z8*5.99</f>
        <v>2.1564000000000005</v>
      </c>
      <c r="AD8" s="7">
        <f>Z8/8.4*1000</f>
        <v>42.857142857142854</v>
      </c>
      <c r="AE8">
        <v>1</v>
      </c>
      <c r="AF8" s="6">
        <f t="shared" si="6"/>
        <v>3.6</v>
      </c>
      <c r="AG8">
        <v>0</v>
      </c>
      <c r="AH8">
        <v>3.6</v>
      </c>
      <c r="AI8" s="7">
        <f>AF8*11.21</f>
        <v>40.356000000000002</v>
      </c>
      <c r="AJ8" s="7">
        <f t="shared" si="7"/>
        <v>92.592592592592581</v>
      </c>
      <c r="AK8">
        <v>0.4</v>
      </c>
      <c r="AL8">
        <f t="shared" si="8"/>
        <v>1.4400000000000002</v>
      </c>
      <c r="AM8">
        <v>0.6</v>
      </c>
      <c r="AN8">
        <v>0.84</v>
      </c>
      <c r="AO8" s="7">
        <f>AK8*14.4</f>
        <v>5.7600000000000007</v>
      </c>
      <c r="AP8" s="7">
        <f t="shared" si="9"/>
        <v>142.85714285714289</v>
      </c>
      <c r="AQ8">
        <v>0.4</v>
      </c>
      <c r="AR8" s="4">
        <f t="shared" si="10"/>
        <v>1.4400000000000002</v>
      </c>
      <c r="AS8">
        <v>1.4</v>
      </c>
      <c r="AT8">
        <v>0</v>
      </c>
      <c r="AV8">
        <v>215</v>
      </c>
      <c r="AW8">
        <v>0.4</v>
      </c>
      <c r="AX8" s="4">
        <f t="shared" si="16"/>
        <v>1.4400000000000002</v>
      </c>
      <c r="AY8">
        <v>0</v>
      </c>
      <c r="AZ8">
        <v>1.4</v>
      </c>
      <c r="BB8" s="7">
        <f t="shared" si="11"/>
        <v>78.431372549019628</v>
      </c>
      <c r="BC8">
        <v>0.1</v>
      </c>
      <c r="BD8">
        <f t="shared" si="17"/>
        <v>0.36000000000000004</v>
      </c>
      <c r="BE8">
        <v>0</v>
      </c>
      <c r="BF8">
        <v>0.36</v>
      </c>
      <c r="BG8" s="4">
        <f>BD8*15.3</f>
        <v>5.5080000000000009</v>
      </c>
      <c r="BH8" s="7">
        <f t="shared" si="12"/>
        <v>8.6206896551724128</v>
      </c>
      <c r="BI8">
        <v>1.5</v>
      </c>
      <c r="BJ8">
        <f t="shared" si="13"/>
        <v>5.4</v>
      </c>
      <c r="BK8">
        <v>5</v>
      </c>
      <c r="BL8" s="4">
        <v>0.4</v>
      </c>
      <c r="BM8" s="4">
        <f>BJ8*3.4</f>
        <v>18.36</v>
      </c>
      <c r="BN8" s="7">
        <f t="shared" si="14"/>
        <v>214.28571428571428</v>
      </c>
      <c r="BO8">
        <v>0.2</v>
      </c>
      <c r="BP8">
        <f t="shared" si="15"/>
        <v>0.72000000000000008</v>
      </c>
      <c r="BQ8">
        <v>0</v>
      </c>
      <c r="BR8">
        <v>0.72</v>
      </c>
    </row>
    <row r="9" spans="1:71" x14ac:dyDescent="0.3">
      <c r="A9">
        <v>2030</v>
      </c>
      <c r="C9" s="4">
        <v>22.098269896193774</v>
      </c>
      <c r="D9" s="4">
        <v>79.553771626297589</v>
      </c>
      <c r="E9" s="4">
        <v>22.12</v>
      </c>
      <c r="F9" s="4">
        <v>57.43</v>
      </c>
      <c r="G9">
        <v>8.6</v>
      </c>
      <c r="H9" s="4">
        <f t="shared" si="0"/>
        <v>30.96</v>
      </c>
      <c r="I9" s="4">
        <v>13.2</v>
      </c>
      <c r="J9" s="4">
        <v>17.78</v>
      </c>
      <c r="K9" s="7">
        <f>H9*6</f>
        <v>185.76</v>
      </c>
      <c r="L9" s="7">
        <f t="shared" si="1"/>
        <v>2965.5172413793107</v>
      </c>
      <c r="M9">
        <v>3.7</v>
      </c>
      <c r="N9" s="4">
        <f t="shared" si="2"/>
        <v>13.32</v>
      </c>
      <c r="O9">
        <v>0</v>
      </c>
      <c r="P9">
        <v>13.3</v>
      </c>
      <c r="Q9" s="7">
        <f>107.4*R9/1000</f>
        <v>75.691428571428574</v>
      </c>
      <c r="R9" s="7">
        <f t="shared" si="3"/>
        <v>704.76190476190482</v>
      </c>
      <c r="S9">
        <v>5.6</v>
      </c>
      <c r="T9">
        <f t="shared" si="4"/>
        <v>20.16</v>
      </c>
      <c r="U9">
        <v>1.1599999999999999</v>
      </c>
      <c r="V9">
        <v>19</v>
      </c>
      <c r="W9" s="7">
        <f>T9*10.56</f>
        <v>212.8896</v>
      </c>
      <c r="X9" s="7">
        <f t="shared" si="5"/>
        <v>601.79104477611941</v>
      </c>
      <c r="Y9">
        <v>0.1</v>
      </c>
      <c r="Z9">
        <f>Y9*3.6</f>
        <v>0.36000000000000004</v>
      </c>
      <c r="AA9">
        <v>0.36</v>
      </c>
      <c r="AB9">
        <v>0</v>
      </c>
      <c r="AC9" s="7">
        <f>Z9*5.99</f>
        <v>2.1564000000000005</v>
      </c>
      <c r="AD9" s="7">
        <f>Z9/8.4*1000</f>
        <v>42.857142857142854</v>
      </c>
      <c r="AE9">
        <v>1</v>
      </c>
      <c r="AF9" s="6">
        <f t="shared" si="6"/>
        <v>3.6</v>
      </c>
      <c r="AG9">
        <v>0</v>
      </c>
      <c r="AH9">
        <v>3.6</v>
      </c>
      <c r="AI9" s="7">
        <f>AF9*11.4</f>
        <v>41.04</v>
      </c>
      <c r="AJ9" s="7">
        <f t="shared" si="7"/>
        <v>92.592592592592581</v>
      </c>
      <c r="AK9">
        <v>0.4</v>
      </c>
      <c r="AL9">
        <f t="shared" si="8"/>
        <v>1.4400000000000002</v>
      </c>
      <c r="AM9">
        <v>0.6</v>
      </c>
      <c r="AN9">
        <v>0.84</v>
      </c>
      <c r="AO9" s="7">
        <f>AK9*15.5</f>
        <v>6.2</v>
      </c>
      <c r="AP9" s="7">
        <f t="shared" si="9"/>
        <v>142.85714285714289</v>
      </c>
      <c r="AQ9">
        <v>0.5</v>
      </c>
      <c r="AR9" s="4">
        <f t="shared" si="10"/>
        <v>1.8</v>
      </c>
      <c r="AS9">
        <v>1.8</v>
      </c>
      <c r="AT9">
        <v>0</v>
      </c>
      <c r="AV9">
        <v>276</v>
      </c>
      <c r="AW9">
        <v>0.4</v>
      </c>
      <c r="AX9" s="4">
        <f t="shared" si="16"/>
        <v>1.4400000000000002</v>
      </c>
      <c r="AY9">
        <v>0</v>
      </c>
      <c r="AZ9">
        <v>1.4</v>
      </c>
      <c r="BB9" s="7">
        <f t="shared" si="11"/>
        <v>78.431372549019628</v>
      </c>
      <c r="BC9">
        <v>0.1</v>
      </c>
      <c r="BD9">
        <f t="shared" si="17"/>
        <v>0.36000000000000004</v>
      </c>
      <c r="BE9">
        <v>0</v>
      </c>
      <c r="BF9">
        <v>0.36</v>
      </c>
      <c r="BG9" s="4">
        <f>BD9*15.4</f>
        <v>5.5440000000000005</v>
      </c>
      <c r="BH9" s="7">
        <f t="shared" si="12"/>
        <v>8.6206896551724128</v>
      </c>
      <c r="BI9">
        <v>1.5</v>
      </c>
      <c r="BJ9">
        <f t="shared" si="13"/>
        <v>5.4</v>
      </c>
      <c r="BK9">
        <v>5</v>
      </c>
      <c r="BL9" s="4">
        <v>0.4</v>
      </c>
      <c r="BM9" s="4">
        <f>BJ9*3.43</f>
        <v>18.522000000000002</v>
      </c>
      <c r="BN9" s="7">
        <f t="shared" si="14"/>
        <v>214.28571428571428</v>
      </c>
      <c r="BO9">
        <v>0.2</v>
      </c>
      <c r="BP9">
        <f t="shared" si="15"/>
        <v>0.72000000000000008</v>
      </c>
      <c r="BQ9">
        <v>0</v>
      </c>
      <c r="BR9">
        <v>0.72</v>
      </c>
    </row>
    <row r="10" spans="1:71" x14ac:dyDescent="0.3">
      <c r="A10">
        <v>2035</v>
      </c>
      <c r="C10" s="4">
        <v>21.964158686730507</v>
      </c>
      <c r="D10" s="4">
        <v>79.070971272229826</v>
      </c>
      <c r="E10" s="4">
        <v>21.77</v>
      </c>
      <c r="F10" s="4">
        <v>57.3</v>
      </c>
      <c r="G10">
        <v>8.6999999999999993</v>
      </c>
      <c r="H10" s="4">
        <f t="shared" si="0"/>
        <v>31.319999999999997</v>
      </c>
      <c r="I10" s="4">
        <v>13.3</v>
      </c>
      <c r="J10" s="4">
        <v>17.96</v>
      </c>
      <c r="K10" s="7">
        <f>H10*6.3</f>
        <v>197.31599999999997</v>
      </c>
      <c r="L10" s="7">
        <f t="shared" si="1"/>
        <v>3000</v>
      </c>
      <c r="M10">
        <v>3.8</v>
      </c>
      <c r="N10" s="4">
        <f t="shared" si="2"/>
        <v>13.68</v>
      </c>
      <c r="O10">
        <v>0</v>
      </c>
      <c r="P10">
        <v>13.7</v>
      </c>
      <c r="Q10" s="7">
        <f>115.7*R10/1000</f>
        <v>83.744761904761887</v>
      </c>
      <c r="R10" s="7">
        <f t="shared" si="3"/>
        <v>723.80952380952374</v>
      </c>
      <c r="S10">
        <v>5.6</v>
      </c>
      <c r="T10">
        <f t="shared" si="4"/>
        <v>20.16</v>
      </c>
      <c r="U10">
        <v>1.1599999999999999</v>
      </c>
      <c r="V10">
        <v>19</v>
      </c>
      <c r="W10" s="7">
        <f>T10*10.9</f>
        <v>219.744</v>
      </c>
      <c r="X10" s="7">
        <f t="shared" si="5"/>
        <v>601.79104477611941</v>
      </c>
      <c r="Y10">
        <v>0</v>
      </c>
      <c r="AA10">
        <v>0</v>
      </c>
      <c r="AB10">
        <v>0</v>
      </c>
      <c r="AE10">
        <v>0.6</v>
      </c>
      <c r="AF10" s="6">
        <f t="shared" si="6"/>
        <v>2.16</v>
      </c>
      <c r="AG10">
        <v>0</v>
      </c>
      <c r="AH10">
        <v>2.16</v>
      </c>
      <c r="AI10" s="7">
        <f>AF10*12</f>
        <v>25.92</v>
      </c>
      <c r="AJ10" s="7">
        <f t="shared" si="7"/>
        <v>55.55555555555555</v>
      </c>
      <c r="AK10">
        <v>0.5</v>
      </c>
      <c r="AL10">
        <f t="shared" si="8"/>
        <v>1.8</v>
      </c>
      <c r="AM10">
        <v>0.6</v>
      </c>
      <c r="AN10">
        <v>1.2</v>
      </c>
      <c r="AO10" s="7">
        <f>AK10*16.7</f>
        <v>8.35</v>
      </c>
      <c r="AP10" s="7">
        <f t="shared" si="9"/>
        <v>178.57142857142858</v>
      </c>
      <c r="AQ10">
        <v>0.5</v>
      </c>
      <c r="AR10" s="4">
        <f t="shared" si="10"/>
        <v>1.8</v>
      </c>
      <c r="AS10">
        <v>1.8</v>
      </c>
      <c r="AT10">
        <v>0</v>
      </c>
      <c r="AV10">
        <v>276</v>
      </c>
      <c r="AW10">
        <v>0.5</v>
      </c>
      <c r="AX10" s="4">
        <f t="shared" si="16"/>
        <v>1.8</v>
      </c>
      <c r="AY10">
        <v>0</v>
      </c>
      <c r="AZ10">
        <v>1.8</v>
      </c>
      <c r="BB10" s="7">
        <f t="shared" si="11"/>
        <v>98.039215686274517</v>
      </c>
      <c r="BC10">
        <v>0.1</v>
      </c>
      <c r="BD10">
        <f t="shared" si="17"/>
        <v>0.36000000000000004</v>
      </c>
      <c r="BE10">
        <v>0</v>
      </c>
      <c r="BF10">
        <v>0.36</v>
      </c>
      <c r="BG10" s="4">
        <f>BD10*15.8</f>
        <v>5.6880000000000006</v>
      </c>
      <c r="BH10" s="7">
        <f t="shared" si="12"/>
        <v>8.6206896551724128</v>
      </c>
      <c r="BI10">
        <v>1.5</v>
      </c>
      <c r="BJ10">
        <f t="shared" si="13"/>
        <v>5.4</v>
      </c>
      <c r="BK10">
        <v>5</v>
      </c>
      <c r="BL10" s="4">
        <v>0.4</v>
      </c>
      <c r="BM10" s="4">
        <f>BJ10*3.437</f>
        <v>18.559799999999999</v>
      </c>
      <c r="BN10" s="7">
        <f t="shared" si="14"/>
        <v>214.28571428571428</v>
      </c>
      <c r="BO10">
        <v>0.2</v>
      </c>
      <c r="BP10">
        <f t="shared" si="15"/>
        <v>0.72000000000000008</v>
      </c>
      <c r="BQ10">
        <v>0</v>
      </c>
      <c r="BR10">
        <v>0.72</v>
      </c>
    </row>
    <row r="11" spans="1:71" x14ac:dyDescent="0.3">
      <c r="A11">
        <v>2040</v>
      </c>
      <c r="C11" s="4">
        <v>21.901504787961699</v>
      </c>
      <c r="D11" s="4">
        <v>78.845417236662115</v>
      </c>
      <c r="E11" s="4">
        <v>21.67</v>
      </c>
      <c r="F11" s="4">
        <v>57.18</v>
      </c>
      <c r="G11">
        <v>8.6999999999999993</v>
      </c>
      <c r="H11" s="4">
        <f t="shared" si="0"/>
        <v>31.319999999999997</v>
      </c>
      <c r="I11" s="4">
        <v>13.3</v>
      </c>
      <c r="J11" s="4">
        <v>18</v>
      </c>
      <c r="K11" s="7">
        <f>H11*6.5</f>
        <v>203.57999999999998</v>
      </c>
      <c r="L11" s="7">
        <f t="shared" si="1"/>
        <v>3000</v>
      </c>
      <c r="M11">
        <v>3.8</v>
      </c>
      <c r="N11" s="4">
        <f t="shared" si="2"/>
        <v>13.68</v>
      </c>
      <c r="O11">
        <v>0</v>
      </c>
      <c r="P11">
        <v>13.7</v>
      </c>
      <c r="Q11" s="7">
        <f>124.6*R11/1000</f>
        <v>90.186666666666653</v>
      </c>
      <c r="R11" s="7">
        <f t="shared" si="3"/>
        <v>723.80952380952374</v>
      </c>
      <c r="S11">
        <v>5.6</v>
      </c>
      <c r="T11">
        <f t="shared" si="4"/>
        <v>20.16</v>
      </c>
      <c r="U11">
        <v>1.1599999999999999</v>
      </c>
      <c r="V11">
        <v>19</v>
      </c>
      <c r="W11" s="7">
        <f>T11*11.88</f>
        <v>239.50080000000003</v>
      </c>
      <c r="X11" s="7">
        <f t="shared" si="5"/>
        <v>601.79104477611941</v>
      </c>
      <c r="Y11">
        <v>0</v>
      </c>
      <c r="AA11">
        <v>0</v>
      </c>
      <c r="AB11">
        <v>0</v>
      </c>
      <c r="AE11">
        <v>0.5</v>
      </c>
      <c r="AF11" s="6">
        <f t="shared" si="6"/>
        <v>1.8</v>
      </c>
      <c r="AG11">
        <v>0</v>
      </c>
      <c r="AH11">
        <v>1.8</v>
      </c>
      <c r="AI11" s="7">
        <f>AF11*12.72</f>
        <v>22.896000000000001</v>
      </c>
      <c r="AJ11" s="7">
        <f t="shared" si="7"/>
        <v>46.296296296296291</v>
      </c>
      <c r="AK11">
        <v>0.5</v>
      </c>
      <c r="AL11">
        <f t="shared" si="8"/>
        <v>1.8</v>
      </c>
      <c r="AM11">
        <v>0.6</v>
      </c>
      <c r="AN11">
        <v>1.2</v>
      </c>
      <c r="AO11">
        <f>AK11*18</f>
        <v>9</v>
      </c>
      <c r="AP11" s="7">
        <f t="shared" si="9"/>
        <v>178.57142857142858</v>
      </c>
      <c r="AQ11">
        <v>0.5</v>
      </c>
      <c r="AR11" s="4">
        <f t="shared" si="10"/>
        <v>1.8</v>
      </c>
      <c r="AS11">
        <v>1.8</v>
      </c>
      <c r="AT11">
        <v>0</v>
      </c>
      <c r="AV11">
        <v>276</v>
      </c>
      <c r="AW11">
        <v>0.5</v>
      </c>
      <c r="AX11" s="4">
        <f t="shared" si="16"/>
        <v>1.8</v>
      </c>
      <c r="AY11">
        <v>0</v>
      </c>
      <c r="AZ11">
        <v>1.8</v>
      </c>
      <c r="BB11" s="7">
        <f t="shared" si="11"/>
        <v>98.039215686274517</v>
      </c>
      <c r="BC11">
        <v>0.1</v>
      </c>
      <c r="BD11">
        <f t="shared" si="17"/>
        <v>0.36000000000000004</v>
      </c>
      <c r="BE11">
        <v>0</v>
      </c>
      <c r="BF11">
        <v>0.36</v>
      </c>
      <c r="BG11" s="4">
        <f>BD11*16.1</f>
        <v>5.7960000000000012</v>
      </c>
      <c r="BH11" s="7">
        <f t="shared" si="12"/>
        <v>8.6206896551724128</v>
      </c>
      <c r="BI11">
        <v>1.5</v>
      </c>
      <c r="BJ11">
        <f t="shared" si="13"/>
        <v>5.4</v>
      </c>
      <c r="BK11">
        <v>5</v>
      </c>
      <c r="BL11" s="4">
        <v>0.4</v>
      </c>
      <c r="BM11" s="4">
        <f>BJ11*3.4375</f>
        <v>18.5625</v>
      </c>
      <c r="BN11" s="7">
        <f t="shared" si="14"/>
        <v>214.28571428571428</v>
      </c>
      <c r="BO11">
        <v>0.3</v>
      </c>
      <c r="BP11">
        <f t="shared" si="15"/>
        <v>1.08</v>
      </c>
      <c r="BQ11">
        <v>0</v>
      </c>
      <c r="BR11">
        <v>1.08</v>
      </c>
    </row>
    <row r="12" spans="1:71" x14ac:dyDescent="0.3">
      <c r="A12">
        <v>2045</v>
      </c>
      <c r="C12" s="4">
        <v>21.159733171619163</v>
      </c>
      <c r="D12" s="4">
        <v>76.175039417828984</v>
      </c>
      <c r="E12" s="4">
        <v>19.170000000000002</v>
      </c>
      <c r="F12" s="4">
        <v>57.01</v>
      </c>
      <c r="G12">
        <v>8.9</v>
      </c>
      <c r="H12" s="4">
        <f t="shared" si="0"/>
        <v>32.04</v>
      </c>
      <c r="I12" s="4">
        <v>13.3</v>
      </c>
      <c r="J12" s="4">
        <v>18.7</v>
      </c>
      <c r="K12" s="7">
        <f>H12*6.8</f>
        <v>217.87199999999999</v>
      </c>
      <c r="L12" s="7">
        <f t="shared" si="1"/>
        <v>3068.9655172413795</v>
      </c>
      <c r="M12">
        <v>3.8</v>
      </c>
      <c r="N12" s="4">
        <f t="shared" si="2"/>
        <v>13.68</v>
      </c>
      <c r="O12">
        <v>0</v>
      </c>
      <c r="P12">
        <v>13.7</v>
      </c>
      <c r="Q12" s="7">
        <f>134.2*R12/1000</f>
        <v>97.13523809523808</v>
      </c>
      <c r="R12" s="7">
        <f t="shared" si="3"/>
        <v>723.80952380952374</v>
      </c>
      <c r="S12">
        <v>5.6</v>
      </c>
      <c r="T12">
        <f t="shared" si="4"/>
        <v>20.16</v>
      </c>
      <c r="U12">
        <v>0.4</v>
      </c>
      <c r="V12">
        <v>19.760000000000002</v>
      </c>
      <c r="W12" s="7">
        <f>T12*12.87</f>
        <v>259.45920000000001</v>
      </c>
      <c r="X12" s="7">
        <f t="shared" si="5"/>
        <v>601.79104477611941</v>
      </c>
      <c r="Y12">
        <v>0</v>
      </c>
      <c r="AA12">
        <v>0</v>
      </c>
      <c r="AB12">
        <v>0</v>
      </c>
      <c r="AE12">
        <v>0</v>
      </c>
      <c r="AG12">
        <v>0</v>
      </c>
      <c r="AH12">
        <v>0</v>
      </c>
      <c r="AK12">
        <v>0.5</v>
      </c>
      <c r="AL12">
        <f t="shared" si="8"/>
        <v>1.8</v>
      </c>
      <c r="AM12">
        <v>0.6</v>
      </c>
      <c r="AN12">
        <v>1.2</v>
      </c>
      <c r="AO12" s="7">
        <f>AK12*19.4</f>
        <v>9.6999999999999993</v>
      </c>
      <c r="AP12" s="7">
        <f t="shared" si="9"/>
        <v>178.57142857142858</v>
      </c>
      <c r="AQ12">
        <v>0.5</v>
      </c>
      <c r="AR12" s="4">
        <f t="shared" si="10"/>
        <v>1.8</v>
      </c>
      <c r="AS12">
        <v>1.8</v>
      </c>
      <c r="AT12">
        <v>0</v>
      </c>
      <c r="AV12">
        <v>276</v>
      </c>
      <c r="AW12">
        <v>0.5</v>
      </c>
      <c r="AX12" s="4">
        <f t="shared" si="16"/>
        <v>1.8</v>
      </c>
      <c r="AY12">
        <v>0</v>
      </c>
      <c r="AZ12">
        <v>1.8</v>
      </c>
      <c r="BB12" s="7">
        <f t="shared" si="11"/>
        <v>98.039215686274517</v>
      </c>
      <c r="BC12">
        <v>0.1</v>
      </c>
      <c r="BD12">
        <f t="shared" si="17"/>
        <v>0.36000000000000004</v>
      </c>
      <c r="BE12">
        <v>0</v>
      </c>
      <c r="BF12">
        <v>0.36</v>
      </c>
      <c r="BG12" s="4">
        <f>BD12*16.5</f>
        <v>5.94</v>
      </c>
      <c r="BH12" s="7">
        <f t="shared" si="12"/>
        <v>8.6206896551724128</v>
      </c>
      <c r="BI12">
        <v>1.5</v>
      </c>
      <c r="BJ12">
        <f t="shared" si="13"/>
        <v>5.4</v>
      </c>
      <c r="BK12">
        <v>5</v>
      </c>
      <c r="BL12" s="4">
        <v>0.4</v>
      </c>
      <c r="BM12" s="4">
        <f>BJ12*3.4375</f>
        <v>18.5625</v>
      </c>
      <c r="BN12" s="7">
        <f t="shared" si="14"/>
        <v>214.28571428571428</v>
      </c>
      <c r="BO12">
        <v>0.3</v>
      </c>
      <c r="BP12">
        <f t="shared" si="15"/>
        <v>1.08</v>
      </c>
      <c r="BQ12">
        <v>0</v>
      </c>
      <c r="BR12">
        <v>1.08</v>
      </c>
    </row>
    <row r="13" spans="1:71" x14ac:dyDescent="0.3">
      <c r="A13">
        <v>2050</v>
      </c>
      <c r="C13" s="4">
        <v>21.711156186612577</v>
      </c>
      <c r="D13" s="4">
        <v>78.160162271805277</v>
      </c>
      <c r="E13" s="4">
        <v>21.32</v>
      </c>
      <c r="F13" s="4">
        <v>56.84</v>
      </c>
      <c r="G13">
        <v>8.9</v>
      </c>
      <c r="H13" s="4">
        <f t="shared" si="0"/>
        <v>32.04</v>
      </c>
      <c r="I13" s="4">
        <v>13.3</v>
      </c>
      <c r="J13" s="4">
        <v>18.7</v>
      </c>
      <c r="K13" s="7">
        <f>H13*7.1</f>
        <v>227.48399999999998</v>
      </c>
      <c r="L13" s="7">
        <f t="shared" si="1"/>
        <v>3068.9655172413795</v>
      </c>
      <c r="M13">
        <v>3.8</v>
      </c>
      <c r="N13" s="4">
        <f t="shared" si="2"/>
        <v>13.68</v>
      </c>
      <c r="O13">
        <v>0</v>
      </c>
      <c r="P13">
        <v>13.7</v>
      </c>
      <c r="Q13" s="7">
        <f>144.5*R13/1000</f>
        <v>104.59047619047618</v>
      </c>
      <c r="R13" s="7">
        <f t="shared" si="3"/>
        <v>723.80952380952374</v>
      </c>
      <c r="S13">
        <v>5.6</v>
      </c>
      <c r="T13">
        <f t="shared" si="4"/>
        <v>20.16</v>
      </c>
      <c r="U13">
        <v>0.6</v>
      </c>
      <c r="V13">
        <v>19.559999999999999</v>
      </c>
      <c r="W13" s="7">
        <f>T13*13.85</f>
        <v>279.21600000000001</v>
      </c>
      <c r="X13" s="7">
        <f t="shared" si="5"/>
        <v>601.79104477611941</v>
      </c>
      <c r="Y13">
        <v>0</v>
      </c>
      <c r="AA13">
        <v>0</v>
      </c>
      <c r="AB13">
        <v>0</v>
      </c>
      <c r="AE13">
        <v>0</v>
      </c>
      <c r="AG13">
        <v>0</v>
      </c>
      <c r="AH13">
        <v>0</v>
      </c>
      <c r="AK13">
        <v>0.5</v>
      </c>
      <c r="AL13">
        <f t="shared" si="8"/>
        <v>1.8</v>
      </c>
      <c r="AM13">
        <v>0.6</v>
      </c>
      <c r="AN13">
        <v>1.2</v>
      </c>
      <c r="AO13" s="7">
        <f>AK13*20.9</f>
        <v>10.45</v>
      </c>
      <c r="AP13" s="7">
        <f t="shared" si="9"/>
        <v>178.57142857142858</v>
      </c>
      <c r="AQ13">
        <v>0.5</v>
      </c>
      <c r="AR13" s="4">
        <f t="shared" si="10"/>
        <v>1.8</v>
      </c>
      <c r="AS13">
        <v>1.8</v>
      </c>
      <c r="AT13">
        <v>0</v>
      </c>
      <c r="AV13">
        <v>276</v>
      </c>
      <c r="AW13">
        <v>0.5</v>
      </c>
      <c r="AX13" s="4">
        <f t="shared" si="16"/>
        <v>1.8</v>
      </c>
      <c r="AY13">
        <v>0</v>
      </c>
      <c r="AZ13">
        <v>1.8</v>
      </c>
      <c r="BB13" s="7">
        <f t="shared" si="11"/>
        <v>98.039215686274517</v>
      </c>
      <c r="BC13">
        <v>0.1</v>
      </c>
      <c r="BD13">
        <f t="shared" si="17"/>
        <v>0.36000000000000004</v>
      </c>
      <c r="BE13">
        <v>0</v>
      </c>
      <c r="BF13">
        <v>0.36</v>
      </c>
      <c r="BG13" s="4">
        <f>BD13*16.8</f>
        <v>6.0480000000000009</v>
      </c>
      <c r="BH13" s="7">
        <f t="shared" si="12"/>
        <v>8.6206896551724128</v>
      </c>
      <c r="BI13">
        <v>1.5</v>
      </c>
      <c r="BJ13">
        <f t="shared" si="13"/>
        <v>5.4</v>
      </c>
      <c r="BK13">
        <v>5</v>
      </c>
      <c r="BL13" s="4">
        <v>0.4</v>
      </c>
      <c r="BM13" s="4">
        <f>BJ13*3.4375</f>
        <v>18.5625</v>
      </c>
      <c r="BN13" s="7">
        <f t="shared" si="14"/>
        <v>214.28571428571428</v>
      </c>
      <c r="BO13">
        <v>0.3</v>
      </c>
      <c r="BP13">
        <f t="shared" si="15"/>
        <v>1.08</v>
      </c>
      <c r="BQ13">
        <v>0</v>
      </c>
      <c r="BR13">
        <v>1.08</v>
      </c>
    </row>
    <row r="14" spans="1:71" x14ac:dyDescent="0.3">
      <c r="A14" t="s">
        <v>111</v>
      </c>
    </row>
    <row r="15" spans="1:71" x14ac:dyDescent="0.3">
      <c r="A15">
        <v>2015</v>
      </c>
      <c r="C15" s="4">
        <v>20.402551381998585</v>
      </c>
      <c r="D15" s="4">
        <v>73.44918497519491</v>
      </c>
      <c r="E15" s="6">
        <v>23.47</v>
      </c>
      <c r="F15" s="6">
        <v>49.98</v>
      </c>
      <c r="G15">
        <v>6.5</v>
      </c>
      <c r="H15" s="6">
        <f t="shared" ref="H15:H22" si="18">G15*3.6</f>
        <v>23.400000000000002</v>
      </c>
      <c r="I15" s="4">
        <v>13.08</v>
      </c>
      <c r="J15" s="4">
        <v>10.32</v>
      </c>
      <c r="K15">
        <f>G15*18</f>
        <v>117</v>
      </c>
      <c r="L15" s="7">
        <f t="shared" ref="L15:L22" si="19">G15/2.9*1000</f>
        <v>2241.3793103448279</v>
      </c>
      <c r="M15">
        <v>3.7</v>
      </c>
      <c r="N15" s="4">
        <f t="shared" ref="N15:N22" si="20">M15*3.6</f>
        <v>13.32</v>
      </c>
      <c r="O15" s="4">
        <v>0</v>
      </c>
      <c r="P15" s="4">
        <v>13.32</v>
      </c>
      <c r="Q15" s="7">
        <f>86*R15/1000</f>
        <v>60.609523809523814</v>
      </c>
      <c r="R15" s="7">
        <f t="shared" ref="R15:R22" si="21">M15/5.25*1000</f>
        <v>704.76190476190482</v>
      </c>
      <c r="S15">
        <v>6.2</v>
      </c>
      <c r="T15" s="4">
        <f t="shared" ref="T15:T22" si="22">S15*3.6</f>
        <v>22.32</v>
      </c>
      <c r="U15" s="4">
        <v>3.3</v>
      </c>
      <c r="V15" s="4">
        <v>19</v>
      </c>
      <c r="W15" s="7">
        <f>T15*10.06</f>
        <v>224.53920000000002</v>
      </c>
      <c r="X15" s="7">
        <f t="shared" ref="X15:X22" si="23">T15/33.5*1000</f>
        <v>666.26865671641792</v>
      </c>
      <c r="Y15">
        <v>1.4</v>
      </c>
      <c r="Z15" s="4">
        <f>Y15*3.6</f>
        <v>5.04</v>
      </c>
      <c r="AA15" s="4">
        <v>5</v>
      </c>
      <c r="AB15" s="4">
        <v>0</v>
      </c>
      <c r="AC15" s="7">
        <f>Z15*6.4</f>
        <v>32.256</v>
      </c>
      <c r="AD15">
        <f>Z15/8.4*1000</f>
        <v>600</v>
      </c>
      <c r="AE15">
        <v>1.2</v>
      </c>
      <c r="AF15" s="4">
        <f t="shared" ref="AF15:AF20" si="24">AE15*3.6</f>
        <v>4.32</v>
      </c>
      <c r="AG15" s="4">
        <v>0</v>
      </c>
      <c r="AH15" s="4">
        <v>4.3</v>
      </c>
      <c r="AI15" s="7">
        <f>AF15*10.27</f>
        <v>44.366399999999999</v>
      </c>
      <c r="AJ15" s="7">
        <f t="shared" ref="AJ15:AJ20" si="25">AE15/10.8*1000</f>
        <v>111.1111111111111</v>
      </c>
      <c r="AK15">
        <v>0.4</v>
      </c>
      <c r="AL15" s="4">
        <f t="shared" ref="AL15:AL22" si="26">AK15*3.6</f>
        <v>1.4400000000000002</v>
      </c>
      <c r="AM15" s="4">
        <v>0.6</v>
      </c>
      <c r="AN15" s="4">
        <v>0.8</v>
      </c>
      <c r="AO15">
        <f>AK15*12.5</f>
        <v>5</v>
      </c>
      <c r="AP15" s="7">
        <f t="shared" ref="AP15:AP22" si="27">AK15/2.8*1000</f>
        <v>142.85714285714289</v>
      </c>
      <c r="AQ15">
        <v>0.4</v>
      </c>
      <c r="AR15" s="4">
        <f t="shared" ref="AR15:AR22" si="28">AQ15*3.6</f>
        <v>1.4400000000000002</v>
      </c>
      <c r="AS15" s="4">
        <v>1.4400000000000002</v>
      </c>
      <c r="AT15" s="4">
        <v>0</v>
      </c>
      <c r="AV15">
        <v>215</v>
      </c>
      <c r="AW15">
        <v>0.3</v>
      </c>
      <c r="AX15" s="4">
        <f t="shared" ref="AX15:AX22" si="29">AW15*3.6</f>
        <v>1.08</v>
      </c>
      <c r="AY15" s="4">
        <v>0</v>
      </c>
      <c r="AZ15" s="4">
        <v>1.08</v>
      </c>
      <c r="BA15">
        <v>0</v>
      </c>
      <c r="BB15" s="7">
        <f t="shared" ref="BB15:BB22" si="30">AW15/5.1*1000</f>
        <v>58.823529411764703</v>
      </c>
      <c r="BC15">
        <v>0.1</v>
      </c>
      <c r="BD15" s="4">
        <f t="shared" ref="BD15:BD22" si="31">BC15*3.6</f>
        <v>0.36000000000000004</v>
      </c>
      <c r="BE15" s="4">
        <v>0</v>
      </c>
      <c r="BF15" s="4">
        <v>0.36</v>
      </c>
      <c r="BG15" s="7">
        <f>BD15*13.7</f>
        <v>4.9320000000000004</v>
      </c>
      <c r="BH15" s="7">
        <f t="shared" ref="BH15:BH22" si="32">BC15/11.6*1000</f>
        <v>8.6206896551724128</v>
      </c>
      <c r="BI15">
        <v>0.1</v>
      </c>
      <c r="BJ15" s="4">
        <f t="shared" ref="BJ15:BJ21" si="33">BI15*3.6</f>
        <v>0.36000000000000004</v>
      </c>
      <c r="BK15" s="4">
        <v>0</v>
      </c>
      <c r="BL15" s="4">
        <v>0.4</v>
      </c>
      <c r="BM15" s="4">
        <f>BJ15*4</f>
        <v>1.4400000000000002</v>
      </c>
      <c r="BN15" s="7">
        <f t="shared" ref="BN15:BN21" si="34">BI15/7*1000</f>
        <v>14.285714285714286</v>
      </c>
      <c r="BO15">
        <v>0.1</v>
      </c>
      <c r="BP15" s="4">
        <f t="shared" ref="BP15:BP22" si="35">BO15*3.6</f>
        <v>0.36000000000000004</v>
      </c>
      <c r="BQ15" s="4">
        <v>0</v>
      </c>
      <c r="BR15" s="4">
        <v>0.36</v>
      </c>
    </row>
    <row r="16" spans="1:71" x14ac:dyDescent="0.3">
      <c r="A16">
        <v>2020</v>
      </c>
      <c r="C16" s="4">
        <v>20.103641456582636</v>
      </c>
      <c r="D16" s="4">
        <v>72.373109243697499</v>
      </c>
      <c r="E16" s="6">
        <v>22.18</v>
      </c>
      <c r="F16" s="6">
        <v>50.19</v>
      </c>
      <c r="G16">
        <v>6.8</v>
      </c>
      <c r="H16" s="6">
        <f t="shared" si="18"/>
        <v>24.48</v>
      </c>
      <c r="I16" s="4">
        <v>13.17</v>
      </c>
      <c r="J16" s="4">
        <v>11.31</v>
      </c>
      <c r="K16" s="7">
        <f>H16*5.4</f>
        <v>132.19200000000001</v>
      </c>
      <c r="L16" s="7">
        <f t="shared" si="19"/>
        <v>2344.8275862068963</v>
      </c>
      <c r="M16">
        <v>3.7</v>
      </c>
      <c r="N16">
        <f t="shared" si="20"/>
        <v>13.32</v>
      </c>
      <c r="O16">
        <v>0</v>
      </c>
      <c r="P16">
        <v>13.32</v>
      </c>
      <c r="Q16" s="7">
        <f>92.6*R16/1000</f>
        <v>65.260952380952375</v>
      </c>
      <c r="R16" s="7">
        <f t="shared" si="21"/>
        <v>704.76190476190482</v>
      </c>
      <c r="S16">
        <v>6.1</v>
      </c>
      <c r="T16">
        <f t="shared" si="22"/>
        <v>21.96</v>
      </c>
      <c r="U16">
        <v>1.96</v>
      </c>
      <c r="V16">
        <v>20</v>
      </c>
      <c r="W16" s="7">
        <f>T16*10.21</f>
        <v>224.21160000000003</v>
      </c>
      <c r="X16" s="7">
        <f t="shared" si="23"/>
        <v>655.52238805970148</v>
      </c>
      <c r="Y16">
        <v>0.1</v>
      </c>
      <c r="Z16">
        <f>Y16*3.6</f>
        <v>0.36000000000000004</v>
      </c>
      <c r="AA16">
        <v>0.36</v>
      </c>
      <c r="AB16">
        <v>0</v>
      </c>
      <c r="AC16" s="7">
        <f>Z16*6.18</f>
        <v>2.2248000000000001</v>
      </c>
      <c r="AD16" s="7">
        <f>Z16/8.4*1000</f>
        <v>42.857142857142854</v>
      </c>
      <c r="AE16">
        <v>0.7</v>
      </c>
      <c r="AF16">
        <f t="shared" si="24"/>
        <v>2.52</v>
      </c>
      <c r="AG16">
        <v>0</v>
      </c>
      <c r="AH16">
        <v>2.52</v>
      </c>
      <c r="AI16" s="7">
        <f>AF16*10.65</f>
        <v>26.838000000000001</v>
      </c>
      <c r="AJ16" s="7">
        <f t="shared" si="25"/>
        <v>64.81481481481481</v>
      </c>
      <c r="AK16">
        <v>0.4</v>
      </c>
      <c r="AL16">
        <f t="shared" si="26"/>
        <v>1.4400000000000002</v>
      </c>
      <c r="AM16">
        <v>0.6</v>
      </c>
      <c r="AN16">
        <v>0.84</v>
      </c>
      <c r="AO16" s="7">
        <f>AK16*13.4</f>
        <v>5.36</v>
      </c>
      <c r="AP16" s="7">
        <f t="shared" si="27"/>
        <v>142.85714285714289</v>
      </c>
      <c r="AQ16">
        <v>0.4</v>
      </c>
      <c r="AR16">
        <f t="shared" si="28"/>
        <v>1.4400000000000002</v>
      </c>
      <c r="AS16">
        <v>1.4400000000000002</v>
      </c>
      <c r="AT16">
        <v>0</v>
      </c>
      <c r="AV16">
        <v>215</v>
      </c>
      <c r="AW16">
        <v>0.3</v>
      </c>
      <c r="AX16">
        <f t="shared" si="29"/>
        <v>1.08</v>
      </c>
      <c r="AY16">
        <v>0</v>
      </c>
      <c r="AZ16">
        <v>1.08</v>
      </c>
      <c r="BB16" s="7">
        <f t="shared" si="30"/>
        <v>58.823529411764703</v>
      </c>
      <c r="BC16">
        <v>0.1</v>
      </c>
      <c r="BD16">
        <f t="shared" si="31"/>
        <v>0.36000000000000004</v>
      </c>
      <c r="BE16">
        <v>0</v>
      </c>
      <c r="BF16">
        <v>0.36000000000000004</v>
      </c>
      <c r="BG16" s="7">
        <f>BD16*14.6</f>
        <v>5.2560000000000002</v>
      </c>
      <c r="BH16" s="7">
        <f t="shared" si="32"/>
        <v>8.6206896551724128</v>
      </c>
      <c r="BI16">
        <v>1.4</v>
      </c>
      <c r="BJ16">
        <f t="shared" si="33"/>
        <v>5.04</v>
      </c>
      <c r="BK16">
        <v>4.6399999999999997</v>
      </c>
      <c r="BL16">
        <v>0.4</v>
      </c>
      <c r="BM16" s="4">
        <f>BJ16*3.3125</f>
        <v>16.695</v>
      </c>
      <c r="BN16" s="7">
        <f t="shared" si="34"/>
        <v>199.99999999999997</v>
      </c>
      <c r="BO16">
        <v>0.1</v>
      </c>
      <c r="BP16">
        <f t="shared" si="35"/>
        <v>0.36000000000000004</v>
      </c>
      <c r="BQ16">
        <v>0</v>
      </c>
      <c r="BR16">
        <v>0.36</v>
      </c>
    </row>
    <row r="17" spans="1:70" x14ac:dyDescent="0.3">
      <c r="A17">
        <v>2025</v>
      </c>
      <c r="C17" s="4">
        <v>19.813148788927336</v>
      </c>
      <c r="D17" s="4">
        <v>71.327335640138415</v>
      </c>
      <c r="E17" s="6">
        <v>20.93</v>
      </c>
      <c r="F17" s="6">
        <v>50.4</v>
      </c>
      <c r="G17">
        <v>7.1</v>
      </c>
      <c r="H17" s="6">
        <f t="shared" si="18"/>
        <v>25.56</v>
      </c>
      <c r="I17" s="4">
        <v>13.56</v>
      </c>
      <c r="J17" s="4">
        <v>12</v>
      </c>
      <c r="K17" s="7">
        <f>H17*5.9</f>
        <v>150.804</v>
      </c>
      <c r="L17" s="7">
        <f t="shared" si="19"/>
        <v>2448.2758620689651</v>
      </c>
      <c r="M17">
        <v>3.6</v>
      </c>
      <c r="N17">
        <f t="shared" si="20"/>
        <v>12.96</v>
      </c>
      <c r="O17">
        <v>0</v>
      </c>
      <c r="P17">
        <v>12.96</v>
      </c>
      <c r="Q17" s="7">
        <f>99.7*R17/1000</f>
        <v>68.36571428571429</v>
      </c>
      <c r="R17" s="7">
        <f t="shared" si="21"/>
        <v>685.71428571428567</v>
      </c>
      <c r="S17">
        <v>5.5</v>
      </c>
      <c r="T17">
        <f t="shared" si="22"/>
        <v>19.8</v>
      </c>
      <c r="U17">
        <v>0.44</v>
      </c>
      <c r="V17">
        <v>19.36</v>
      </c>
      <c r="W17" s="7">
        <f>T17*10.45</f>
        <v>206.91</v>
      </c>
      <c r="X17" s="7">
        <f t="shared" si="23"/>
        <v>591.04477611940297</v>
      </c>
      <c r="Y17">
        <v>0.1</v>
      </c>
      <c r="Z17">
        <f>Y17*3.6</f>
        <v>0.36000000000000004</v>
      </c>
      <c r="AA17">
        <v>0.36</v>
      </c>
      <c r="AB17">
        <v>0</v>
      </c>
      <c r="AC17" s="7">
        <f>Z17*5.99</f>
        <v>2.1564000000000005</v>
      </c>
      <c r="AD17" s="7">
        <f>Z17/8.4*1000</f>
        <v>42.857142857142854</v>
      </c>
      <c r="AE17">
        <v>0.6</v>
      </c>
      <c r="AF17">
        <f t="shared" si="24"/>
        <v>2.16</v>
      </c>
      <c r="AG17">
        <v>0</v>
      </c>
      <c r="AH17">
        <v>2.16</v>
      </c>
      <c r="AI17" s="7">
        <f>AF17*11.21</f>
        <v>24.213600000000003</v>
      </c>
      <c r="AJ17" s="7">
        <f t="shared" si="25"/>
        <v>55.55555555555555</v>
      </c>
      <c r="AK17">
        <v>0.4</v>
      </c>
      <c r="AL17">
        <f t="shared" si="26"/>
        <v>1.4400000000000002</v>
      </c>
      <c r="AM17">
        <v>0.6</v>
      </c>
      <c r="AN17">
        <v>0.84</v>
      </c>
      <c r="AO17" s="7">
        <f>AK17*14.4</f>
        <v>5.7600000000000007</v>
      </c>
      <c r="AP17" s="7">
        <f t="shared" si="27"/>
        <v>142.85714285714289</v>
      </c>
      <c r="AQ17">
        <v>0.4</v>
      </c>
      <c r="AR17">
        <f t="shared" si="28"/>
        <v>1.4400000000000002</v>
      </c>
      <c r="AS17">
        <v>1.4400000000000002</v>
      </c>
      <c r="AT17">
        <v>0</v>
      </c>
      <c r="AV17">
        <v>215</v>
      </c>
      <c r="AW17">
        <v>0.4</v>
      </c>
      <c r="AX17">
        <f t="shared" si="29"/>
        <v>1.4400000000000002</v>
      </c>
      <c r="AY17">
        <v>0</v>
      </c>
      <c r="AZ17">
        <v>1.4400000000000002</v>
      </c>
      <c r="BB17" s="7">
        <f t="shared" si="30"/>
        <v>78.431372549019628</v>
      </c>
      <c r="BC17">
        <v>0.1</v>
      </c>
      <c r="BD17">
        <f t="shared" si="31"/>
        <v>0.36000000000000004</v>
      </c>
      <c r="BE17">
        <v>0</v>
      </c>
      <c r="BF17">
        <v>0.36000000000000004</v>
      </c>
      <c r="BG17" s="7">
        <f>BD17*15.5</f>
        <v>5.580000000000001</v>
      </c>
      <c r="BH17" s="7">
        <f t="shared" si="32"/>
        <v>8.6206896551724128</v>
      </c>
      <c r="BI17">
        <v>1.4</v>
      </c>
      <c r="BJ17">
        <f t="shared" si="33"/>
        <v>5.04</v>
      </c>
      <c r="BK17">
        <v>4.6399999999999997</v>
      </c>
      <c r="BL17">
        <v>0.4</v>
      </c>
      <c r="BM17" s="4">
        <f>BJ17*3.4</f>
        <v>17.135999999999999</v>
      </c>
      <c r="BN17" s="7">
        <f t="shared" si="34"/>
        <v>199.99999999999997</v>
      </c>
      <c r="BO17">
        <v>0.2</v>
      </c>
      <c r="BP17">
        <f t="shared" si="35"/>
        <v>0.72000000000000008</v>
      </c>
      <c r="BQ17">
        <v>0</v>
      </c>
      <c r="BR17">
        <v>0.72</v>
      </c>
    </row>
    <row r="18" spans="1:70" x14ac:dyDescent="0.3">
      <c r="A18">
        <v>2030</v>
      </c>
      <c r="C18" s="4">
        <v>19.483447332421342</v>
      </c>
      <c r="D18" s="4">
        <v>70.140410396716831</v>
      </c>
      <c r="E18" s="6">
        <v>19.989999999999998</v>
      </c>
      <c r="F18" s="6">
        <v>50.15</v>
      </c>
      <c r="G18">
        <v>7.9</v>
      </c>
      <c r="H18" s="6">
        <f t="shared" si="18"/>
        <v>28.44</v>
      </c>
      <c r="I18" s="4">
        <v>13.37</v>
      </c>
      <c r="J18" s="4">
        <v>15.07</v>
      </c>
      <c r="K18" s="7">
        <f>H18*6</f>
        <v>170.64000000000001</v>
      </c>
      <c r="L18" s="7">
        <f t="shared" si="19"/>
        <v>2724.1379310344832</v>
      </c>
      <c r="M18">
        <v>3.4</v>
      </c>
      <c r="N18">
        <f t="shared" si="20"/>
        <v>12.24</v>
      </c>
      <c r="O18">
        <v>0</v>
      </c>
      <c r="P18">
        <v>12.24</v>
      </c>
      <c r="Q18" s="7">
        <f>107.4*R18/1000</f>
        <v>69.554285714285726</v>
      </c>
      <c r="R18" s="7">
        <f t="shared" si="21"/>
        <v>647.61904761904771</v>
      </c>
      <c r="S18">
        <v>4.8</v>
      </c>
      <c r="T18">
        <f t="shared" si="22"/>
        <v>17.28</v>
      </c>
      <c r="U18">
        <v>0</v>
      </c>
      <c r="V18">
        <v>17.28</v>
      </c>
      <c r="W18" s="7">
        <f>T18*10.56</f>
        <v>182.47680000000003</v>
      </c>
      <c r="X18" s="7">
        <f t="shared" si="23"/>
        <v>515.82089552238813</v>
      </c>
      <c r="Y18">
        <v>0</v>
      </c>
      <c r="AA18">
        <v>0</v>
      </c>
      <c r="AB18">
        <v>0</v>
      </c>
      <c r="AE18">
        <v>0.5</v>
      </c>
      <c r="AF18">
        <f t="shared" si="24"/>
        <v>1.8</v>
      </c>
      <c r="AG18">
        <v>0</v>
      </c>
      <c r="AH18">
        <v>1.8</v>
      </c>
      <c r="AI18" s="7">
        <f>AF18*11.4</f>
        <v>20.52</v>
      </c>
      <c r="AJ18" s="7">
        <f t="shared" si="25"/>
        <v>46.296296296296291</v>
      </c>
      <c r="AK18">
        <v>0.4</v>
      </c>
      <c r="AL18">
        <f t="shared" si="26"/>
        <v>1.4400000000000002</v>
      </c>
      <c r="AM18">
        <v>0.6</v>
      </c>
      <c r="AN18">
        <v>0.84</v>
      </c>
      <c r="AO18" s="7">
        <f>AK18*15.5</f>
        <v>6.2</v>
      </c>
      <c r="AP18" s="7">
        <f t="shared" si="27"/>
        <v>142.85714285714289</v>
      </c>
      <c r="AQ18">
        <v>0.4</v>
      </c>
      <c r="AR18">
        <f t="shared" si="28"/>
        <v>1.4400000000000002</v>
      </c>
      <c r="AS18">
        <v>1.4400000000000002</v>
      </c>
      <c r="AT18">
        <v>0</v>
      </c>
      <c r="AV18">
        <v>215</v>
      </c>
      <c r="AW18">
        <v>0.4</v>
      </c>
      <c r="AX18">
        <f t="shared" si="29"/>
        <v>1.4400000000000002</v>
      </c>
      <c r="AY18">
        <v>0</v>
      </c>
      <c r="AZ18">
        <v>1.4400000000000002</v>
      </c>
      <c r="BB18" s="7">
        <f t="shared" si="30"/>
        <v>78.431372549019628</v>
      </c>
      <c r="BC18">
        <v>0.1</v>
      </c>
      <c r="BD18">
        <f t="shared" si="31"/>
        <v>0.36000000000000004</v>
      </c>
      <c r="BE18">
        <v>0</v>
      </c>
      <c r="BF18">
        <v>0.36000000000000004</v>
      </c>
      <c r="BG18" s="7">
        <f>BD18*15.4</f>
        <v>5.5440000000000005</v>
      </c>
      <c r="BH18" s="7">
        <f t="shared" si="32"/>
        <v>8.6206896551724128</v>
      </c>
      <c r="BI18">
        <v>1.4</v>
      </c>
      <c r="BJ18">
        <f t="shared" si="33"/>
        <v>5.04</v>
      </c>
      <c r="BK18">
        <v>4.6399999999999997</v>
      </c>
      <c r="BL18">
        <v>0.4</v>
      </c>
      <c r="BM18" s="4">
        <f>BJ18*3.43</f>
        <v>17.287200000000002</v>
      </c>
      <c r="BN18" s="7">
        <f t="shared" si="34"/>
        <v>199.99999999999997</v>
      </c>
      <c r="BO18">
        <v>0.2</v>
      </c>
      <c r="BP18">
        <f t="shared" si="35"/>
        <v>0.72000000000000008</v>
      </c>
      <c r="BQ18">
        <v>0</v>
      </c>
      <c r="BR18">
        <v>0.72</v>
      </c>
    </row>
    <row r="19" spans="1:70" x14ac:dyDescent="0.3">
      <c r="A19">
        <v>2035</v>
      </c>
      <c r="C19" s="4">
        <v>18.384404924760602</v>
      </c>
      <c r="D19" s="4">
        <v>66.183857729138168</v>
      </c>
      <c r="E19" s="6">
        <v>18.96</v>
      </c>
      <c r="F19" s="6">
        <v>47.22</v>
      </c>
      <c r="G19">
        <v>7.4</v>
      </c>
      <c r="H19" s="6">
        <f t="shared" si="18"/>
        <v>26.64</v>
      </c>
      <c r="I19" s="4">
        <v>13.42</v>
      </c>
      <c r="J19" s="4">
        <v>13.22</v>
      </c>
      <c r="K19" s="7">
        <f>H19*6.3</f>
        <v>167.83199999999999</v>
      </c>
      <c r="L19" s="7">
        <f t="shared" si="19"/>
        <v>2551.7241379310349</v>
      </c>
      <c r="M19">
        <v>3.3</v>
      </c>
      <c r="N19">
        <f t="shared" si="20"/>
        <v>11.879999999999999</v>
      </c>
      <c r="O19">
        <v>0</v>
      </c>
      <c r="P19">
        <v>11.879999999999999</v>
      </c>
      <c r="Q19" s="7">
        <f>115.7*R19/1000</f>
        <v>72.72571428571429</v>
      </c>
      <c r="R19" s="7">
        <f t="shared" si="21"/>
        <v>628.57142857142856</v>
      </c>
      <c r="S19">
        <v>4.7</v>
      </c>
      <c r="T19">
        <f t="shared" si="22"/>
        <v>16.920000000000002</v>
      </c>
      <c r="U19">
        <v>0</v>
      </c>
      <c r="V19">
        <v>16.920000000000002</v>
      </c>
      <c r="W19" s="7">
        <f>T19*10.9</f>
        <v>184.42800000000003</v>
      </c>
      <c r="X19" s="7">
        <f t="shared" si="23"/>
        <v>505.07462686567175</v>
      </c>
      <c r="Y19">
        <v>0</v>
      </c>
      <c r="AA19">
        <v>0</v>
      </c>
      <c r="AB19">
        <v>0</v>
      </c>
      <c r="AE19">
        <v>0.4</v>
      </c>
      <c r="AF19">
        <f t="shared" si="24"/>
        <v>1.4400000000000002</v>
      </c>
      <c r="AG19">
        <v>0</v>
      </c>
      <c r="AH19">
        <v>1.44</v>
      </c>
      <c r="AI19" s="7">
        <f>AF19*12</f>
        <v>17.28</v>
      </c>
      <c r="AJ19" s="7">
        <f t="shared" si="25"/>
        <v>37.037037037037038</v>
      </c>
      <c r="AK19">
        <v>0.4</v>
      </c>
      <c r="AL19">
        <f t="shared" si="26"/>
        <v>1.4400000000000002</v>
      </c>
      <c r="AM19">
        <v>0.6</v>
      </c>
      <c r="AN19">
        <v>0.84</v>
      </c>
      <c r="AO19" s="7">
        <f>AK19*16.7</f>
        <v>6.68</v>
      </c>
      <c r="AP19" s="7">
        <f t="shared" si="27"/>
        <v>142.85714285714289</v>
      </c>
      <c r="AQ19">
        <v>0.4</v>
      </c>
      <c r="AR19">
        <f t="shared" si="28"/>
        <v>1.4400000000000002</v>
      </c>
      <c r="AS19">
        <v>1.4400000000000002</v>
      </c>
      <c r="AT19">
        <v>0</v>
      </c>
      <c r="AV19">
        <v>215</v>
      </c>
      <c r="AW19">
        <v>0.4</v>
      </c>
      <c r="AX19">
        <f t="shared" si="29"/>
        <v>1.4400000000000002</v>
      </c>
      <c r="AY19">
        <v>0</v>
      </c>
      <c r="AZ19">
        <v>1.4400000000000002</v>
      </c>
      <c r="BB19" s="7">
        <f t="shared" si="30"/>
        <v>78.431372549019628</v>
      </c>
      <c r="BC19">
        <v>0.1</v>
      </c>
      <c r="BD19">
        <f t="shared" si="31"/>
        <v>0.36000000000000004</v>
      </c>
      <c r="BE19">
        <v>0</v>
      </c>
      <c r="BF19">
        <v>0.36000000000000004</v>
      </c>
      <c r="BG19" s="7">
        <f>BD19*15.8</f>
        <v>5.6880000000000006</v>
      </c>
      <c r="BH19" s="7">
        <f t="shared" si="32"/>
        <v>8.6206896551724128</v>
      </c>
      <c r="BI19">
        <v>1</v>
      </c>
      <c r="BJ19">
        <f t="shared" si="33"/>
        <v>3.6</v>
      </c>
      <c r="BK19">
        <v>3.2</v>
      </c>
      <c r="BL19">
        <v>0.4</v>
      </c>
      <c r="BM19" s="4">
        <f>BJ19*3.437</f>
        <v>12.373199999999999</v>
      </c>
      <c r="BN19" s="7">
        <f t="shared" si="34"/>
        <v>142.85714285714286</v>
      </c>
      <c r="BO19">
        <v>0.2</v>
      </c>
      <c r="BP19">
        <f t="shared" si="35"/>
        <v>0.72000000000000008</v>
      </c>
      <c r="BQ19">
        <v>0</v>
      </c>
      <c r="BR19">
        <v>0.72</v>
      </c>
    </row>
    <row r="20" spans="1:70" x14ac:dyDescent="0.3">
      <c r="A20">
        <v>2040</v>
      </c>
      <c r="C20" s="4">
        <v>17.121027721433403</v>
      </c>
      <c r="D20" s="4">
        <v>61.635699797160257</v>
      </c>
      <c r="E20" s="6">
        <v>18.010000000000002</v>
      </c>
      <c r="F20" s="6">
        <v>43.62</v>
      </c>
      <c r="G20">
        <v>6.8</v>
      </c>
      <c r="H20" s="6">
        <f t="shared" si="18"/>
        <v>24.48</v>
      </c>
      <c r="I20" s="4">
        <v>13.26</v>
      </c>
      <c r="J20" s="4">
        <v>11.22</v>
      </c>
      <c r="K20" s="7">
        <f>H20*6.5</f>
        <v>159.12</v>
      </c>
      <c r="L20" s="7">
        <f t="shared" si="19"/>
        <v>2344.8275862068963</v>
      </c>
      <c r="M20">
        <v>3.2</v>
      </c>
      <c r="N20">
        <f t="shared" si="20"/>
        <v>11.520000000000001</v>
      </c>
      <c r="O20">
        <v>0</v>
      </c>
      <c r="P20">
        <v>11.520000000000001</v>
      </c>
      <c r="Q20" s="7">
        <f>124.6*R20/1000</f>
        <v>75.946666666666673</v>
      </c>
      <c r="R20" s="7">
        <f t="shared" si="21"/>
        <v>609.52380952380963</v>
      </c>
      <c r="S20">
        <v>4.5</v>
      </c>
      <c r="T20">
        <f t="shared" si="22"/>
        <v>16.2</v>
      </c>
      <c r="U20">
        <v>0</v>
      </c>
      <c r="V20">
        <v>16.2</v>
      </c>
      <c r="W20" s="7">
        <f>T20*11.88</f>
        <v>192.45600000000002</v>
      </c>
      <c r="X20" s="7">
        <f t="shared" si="23"/>
        <v>483.58208955223881</v>
      </c>
      <c r="Y20">
        <v>0</v>
      </c>
      <c r="AA20">
        <v>0</v>
      </c>
      <c r="AB20">
        <v>0</v>
      </c>
      <c r="AE20">
        <v>0.2</v>
      </c>
      <c r="AF20">
        <f t="shared" si="24"/>
        <v>0.72000000000000008</v>
      </c>
      <c r="AG20">
        <v>0</v>
      </c>
      <c r="AH20">
        <v>0.72</v>
      </c>
      <c r="AI20" s="7">
        <f>AF20*12.72</f>
        <v>9.1584000000000021</v>
      </c>
      <c r="AJ20" s="7">
        <f t="shared" si="25"/>
        <v>18.518518518518519</v>
      </c>
      <c r="AK20">
        <v>0.3</v>
      </c>
      <c r="AL20">
        <f t="shared" si="26"/>
        <v>1.08</v>
      </c>
      <c r="AM20">
        <v>0.4</v>
      </c>
      <c r="AN20">
        <v>0.68</v>
      </c>
      <c r="AO20" s="7">
        <f>AK20*18</f>
        <v>5.3999999999999995</v>
      </c>
      <c r="AP20" s="7">
        <f t="shared" si="27"/>
        <v>107.14285714285715</v>
      </c>
      <c r="AQ20">
        <v>0.3</v>
      </c>
      <c r="AR20">
        <f t="shared" si="28"/>
        <v>1.08</v>
      </c>
      <c r="AS20">
        <v>1.08</v>
      </c>
      <c r="AT20">
        <v>0</v>
      </c>
      <c r="AV20">
        <v>161</v>
      </c>
      <c r="AW20">
        <v>0.5</v>
      </c>
      <c r="AX20">
        <f t="shared" si="29"/>
        <v>1.8</v>
      </c>
      <c r="AY20">
        <v>0</v>
      </c>
      <c r="AZ20">
        <v>1.8</v>
      </c>
      <c r="BB20" s="7">
        <f t="shared" si="30"/>
        <v>98.039215686274517</v>
      </c>
      <c r="BC20">
        <v>0.1</v>
      </c>
      <c r="BD20">
        <f t="shared" si="31"/>
        <v>0.36000000000000004</v>
      </c>
      <c r="BE20">
        <v>0</v>
      </c>
      <c r="BF20">
        <v>0.36000000000000004</v>
      </c>
      <c r="BG20" s="7">
        <f>BD20*16.1</f>
        <v>5.7960000000000012</v>
      </c>
      <c r="BH20" s="7">
        <f t="shared" si="32"/>
        <v>8.6206896551724128</v>
      </c>
      <c r="BI20">
        <v>1</v>
      </c>
      <c r="BJ20">
        <f t="shared" si="33"/>
        <v>3.6</v>
      </c>
      <c r="BK20">
        <v>3.2</v>
      </c>
      <c r="BL20">
        <v>0.4</v>
      </c>
      <c r="BM20" s="4">
        <f>BJ20*3.4375</f>
        <v>12.375</v>
      </c>
      <c r="BN20" s="7">
        <f t="shared" si="34"/>
        <v>142.85714285714286</v>
      </c>
      <c r="BO20">
        <v>0.2</v>
      </c>
      <c r="BP20">
        <f t="shared" si="35"/>
        <v>0.72000000000000008</v>
      </c>
      <c r="BQ20">
        <v>0</v>
      </c>
      <c r="BR20">
        <v>0.72</v>
      </c>
    </row>
    <row r="21" spans="1:70" x14ac:dyDescent="0.3">
      <c r="A21">
        <v>2045</v>
      </c>
      <c r="C21" s="4">
        <v>16.044624746450307</v>
      </c>
      <c r="D21" s="4">
        <v>57.760649087221104</v>
      </c>
      <c r="E21" s="6">
        <v>17.53</v>
      </c>
      <c r="F21" s="6">
        <v>40.24</v>
      </c>
      <c r="G21">
        <v>6.4</v>
      </c>
      <c r="H21" s="6">
        <f t="shared" si="18"/>
        <v>23.040000000000003</v>
      </c>
      <c r="I21" s="4">
        <v>12.68</v>
      </c>
      <c r="J21" s="4">
        <v>10.36</v>
      </c>
      <c r="K21" s="7">
        <f>H21*6.8</f>
        <v>156.67200000000003</v>
      </c>
      <c r="L21" s="7">
        <f t="shared" si="19"/>
        <v>2206.8965517241377</v>
      </c>
      <c r="M21">
        <v>3</v>
      </c>
      <c r="N21">
        <f t="shared" si="20"/>
        <v>10.8</v>
      </c>
      <c r="O21">
        <v>0</v>
      </c>
      <c r="P21">
        <v>10.8</v>
      </c>
      <c r="Q21" s="7">
        <f>134.2*R21/1000</f>
        <v>76.685714285714269</v>
      </c>
      <c r="R21" s="7">
        <f t="shared" si="21"/>
        <v>571.42857142857144</v>
      </c>
      <c r="S21">
        <v>4.0999999999999996</v>
      </c>
      <c r="T21">
        <f t="shared" si="22"/>
        <v>14.76</v>
      </c>
      <c r="U21">
        <v>0</v>
      </c>
      <c r="V21">
        <v>14.76</v>
      </c>
      <c r="W21" s="7">
        <f>T21*12.87</f>
        <v>189.96119999999999</v>
      </c>
      <c r="X21" s="7">
        <f t="shared" si="23"/>
        <v>440.59701492537312</v>
      </c>
      <c r="Y21">
        <v>0</v>
      </c>
      <c r="AA21">
        <v>0</v>
      </c>
      <c r="AB21">
        <v>0</v>
      </c>
      <c r="AE21">
        <v>0</v>
      </c>
      <c r="AK21">
        <v>0.3</v>
      </c>
      <c r="AL21">
        <f t="shared" si="26"/>
        <v>1.08</v>
      </c>
      <c r="AM21">
        <v>0.4</v>
      </c>
      <c r="AN21">
        <v>0.68</v>
      </c>
      <c r="AO21" s="7">
        <f>AK21*19.4</f>
        <v>5.8199999999999994</v>
      </c>
      <c r="AP21" s="7">
        <f t="shared" si="27"/>
        <v>107.14285714285715</v>
      </c>
      <c r="AQ21">
        <v>0.3</v>
      </c>
      <c r="AR21">
        <f t="shared" si="28"/>
        <v>1.08</v>
      </c>
      <c r="AS21">
        <v>1.08</v>
      </c>
      <c r="AT21">
        <v>0</v>
      </c>
      <c r="AV21">
        <v>161</v>
      </c>
      <c r="AW21">
        <v>0.5</v>
      </c>
      <c r="AX21">
        <f t="shared" si="29"/>
        <v>1.8</v>
      </c>
      <c r="AY21">
        <v>0</v>
      </c>
      <c r="AZ21">
        <v>1.8</v>
      </c>
      <c r="BB21" s="7">
        <f t="shared" si="30"/>
        <v>98.039215686274517</v>
      </c>
      <c r="BC21">
        <v>0.1</v>
      </c>
      <c r="BD21">
        <f t="shared" si="31"/>
        <v>0.36000000000000004</v>
      </c>
      <c r="BE21">
        <v>0</v>
      </c>
      <c r="BF21">
        <v>0.36000000000000004</v>
      </c>
      <c r="BG21" s="7">
        <f>BD21*16.5</f>
        <v>5.94</v>
      </c>
      <c r="BH21" s="7">
        <f t="shared" si="32"/>
        <v>8.6206896551724128</v>
      </c>
      <c r="BI21">
        <v>1</v>
      </c>
      <c r="BJ21">
        <f t="shared" si="33"/>
        <v>3.6</v>
      </c>
      <c r="BK21">
        <v>3.2</v>
      </c>
      <c r="BL21">
        <v>0.4</v>
      </c>
      <c r="BM21" s="4">
        <f>BJ21*3.4375</f>
        <v>12.375</v>
      </c>
      <c r="BN21" s="7">
        <f t="shared" si="34"/>
        <v>142.85714285714286</v>
      </c>
      <c r="BO21">
        <v>0.3</v>
      </c>
      <c r="BP21">
        <f t="shared" si="35"/>
        <v>1.08</v>
      </c>
      <c r="BQ21">
        <v>0</v>
      </c>
      <c r="BR21">
        <v>1.08</v>
      </c>
    </row>
    <row r="22" spans="1:70" x14ac:dyDescent="0.3">
      <c r="A22">
        <v>2050</v>
      </c>
      <c r="C22" s="4">
        <v>14.920855614973263</v>
      </c>
      <c r="D22" s="4">
        <v>53.715080213903747</v>
      </c>
      <c r="E22" s="6">
        <v>17.04</v>
      </c>
      <c r="F22" s="6">
        <v>36.68</v>
      </c>
      <c r="G22">
        <v>6.4</v>
      </c>
      <c r="H22" s="6">
        <f t="shared" si="18"/>
        <v>23.040000000000003</v>
      </c>
      <c r="I22" s="4">
        <v>13.04</v>
      </c>
      <c r="J22" s="4">
        <v>10</v>
      </c>
      <c r="K22" s="7">
        <f>H22*7.1</f>
        <v>163.584</v>
      </c>
      <c r="L22" s="7">
        <f t="shared" si="19"/>
        <v>2206.8965517241377</v>
      </c>
      <c r="M22">
        <v>3</v>
      </c>
      <c r="N22">
        <f t="shared" si="20"/>
        <v>10.8</v>
      </c>
      <c r="O22">
        <v>0</v>
      </c>
      <c r="P22">
        <v>10.8</v>
      </c>
      <c r="Q22" s="7">
        <f>144.5*R22/1000</f>
        <v>82.571428571428584</v>
      </c>
      <c r="R22" s="7">
        <f t="shared" si="21"/>
        <v>571.42857142857144</v>
      </c>
      <c r="S22">
        <v>4</v>
      </c>
      <c r="T22">
        <f t="shared" si="22"/>
        <v>14.4</v>
      </c>
      <c r="U22">
        <v>2</v>
      </c>
      <c r="V22">
        <v>12.4</v>
      </c>
      <c r="W22" s="7">
        <f>T22*13.85</f>
        <v>199.44</v>
      </c>
      <c r="X22" s="7">
        <f t="shared" si="23"/>
        <v>429.85074626865674</v>
      </c>
      <c r="Y22">
        <v>0</v>
      </c>
      <c r="AA22">
        <v>0</v>
      </c>
      <c r="AB22">
        <v>0</v>
      </c>
      <c r="AE22">
        <v>0</v>
      </c>
      <c r="AK22">
        <v>0.3</v>
      </c>
      <c r="AL22">
        <f t="shared" si="26"/>
        <v>1.08</v>
      </c>
      <c r="AM22">
        <v>0.4</v>
      </c>
      <c r="AN22">
        <v>0.68</v>
      </c>
      <c r="AO22" s="7">
        <f>AK22*20.9</f>
        <v>6.27</v>
      </c>
      <c r="AP22" s="7">
        <f t="shared" si="27"/>
        <v>107.14285714285715</v>
      </c>
      <c r="AQ22">
        <v>0.3</v>
      </c>
      <c r="AR22">
        <f t="shared" si="28"/>
        <v>1.08</v>
      </c>
      <c r="AS22">
        <v>1.08</v>
      </c>
      <c r="AT22">
        <v>0</v>
      </c>
      <c r="AV22">
        <v>161</v>
      </c>
      <c r="AW22">
        <v>0.5</v>
      </c>
      <c r="AX22">
        <f t="shared" si="29"/>
        <v>1.8</v>
      </c>
      <c r="AY22">
        <v>0</v>
      </c>
      <c r="AZ22">
        <v>1.8</v>
      </c>
      <c r="BB22" s="7">
        <f t="shared" si="30"/>
        <v>98.039215686274517</v>
      </c>
      <c r="BC22">
        <v>0.1</v>
      </c>
      <c r="BD22">
        <f t="shared" si="31"/>
        <v>0.36000000000000004</v>
      </c>
      <c r="BE22">
        <v>0</v>
      </c>
      <c r="BF22">
        <v>0.36000000000000004</v>
      </c>
      <c r="BG22" s="7">
        <f>BD22*16.8</f>
        <v>6.0480000000000009</v>
      </c>
      <c r="BH22" s="7">
        <f t="shared" si="32"/>
        <v>8.6206896551724128</v>
      </c>
      <c r="BI22">
        <v>0</v>
      </c>
      <c r="BK22">
        <v>0</v>
      </c>
      <c r="BL22">
        <v>0</v>
      </c>
      <c r="BO22">
        <v>0.3</v>
      </c>
      <c r="BP22">
        <f t="shared" si="35"/>
        <v>1.08</v>
      </c>
      <c r="BQ22">
        <v>0</v>
      </c>
      <c r="BR22">
        <v>1.08</v>
      </c>
    </row>
    <row r="23" spans="1:70" x14ac:dyDescent="0.3">
      <c r="A23" t="s">
        <v>112</v>
      </c>
    </row>
    <row r="24" spans="1:70" x14ac:dyDescent="0.3">
      <c r="A24">
        <v>2015</v>
      </c>
      <c r="C24" s="4">
        <v>20.402551381998585</v>
      </c>
      <c r="D24" s="4">
        <v>73.44918497519491</v>
      </c>
      <c r="E24" s="4">
        <v>23.47</v>
      </c>
      <c r="F24" s="4">
        <v>49.98</v>
      </c>
      <c r="G24">
        <v>6.5</v>
      </c>
      <c r="H24">
        <f t="shared" ref="H24:H31" si="36">G24*3.6</f>
        <v>23.400000000000002</v>
      </c>
      <c r="I24" s="4">
        <v>13.08</v>
      </c>
      <c r="J24" s="4">
        <v>10.32</v>
      </c>
      <c r="K24">
        <f>G24*18</f>
        <v>117</v>
      </c>
      <c r="L24" s="7">
        <f t="shared" ref="L24:L31" si="37">G24/2.9*1000</f>
        <v>2241.3793103448279</v>
      </c>
      <c r="M24">
        <v>3.7</v>
      </c>
      <c r="N24" s="4">
        <f t="shared" ref="N24:N31" si="38">M24*3.6</f>
        <v>13.32</v>
      </c>
      <c r="O24" s="4">
        <v>0</v>
      </c>
      <c r="P24" s="4">
        <v>13.32</v>
      </c>
      <c r="Q24" s="7">
        <f>86*R24/1000</f>
        <v>60.609523809523814</v>
      </c>
      <c r="R24" s="7">
        <f t="shared" ref="R24:R31" si="39">M24/5.25*1000</f>
        <v>704.76190476190482</v>
      </c>
      <c r="S24">
        <v>6.2</v>
      </c>
      <c r="T24" s="4">
        <f t="shared" ref="T24:T31" si="40">S24*3.6</f>
        <v>22.32</v>
      </c>
      <c r="U24" s="4">
        <v>3.3</v>
      </c>
      <c r="V24" s="4">
        <v>19</v>
      </c>
      <c r="W24" s="7">
        <f>T24*10.06</f>
        <v>224.53920000000002</v>
      </c>
      <c r="X24" s="7">
        <f t="shared" ref="X24:X31" si="41">T24/33.5*1000</f>
        <v>666.26865671641792</v>
      </c>
      <c r="Y24">
        <v>1.4</v>
      </c>
      <c r="Z24" s="4">
        <f>Y24*3.6</f>
        <v>5.04</v>
      </c>
      <c r="AA24" s="4">
        <v>5</v>
      </c>
      <c r="AB24" s="4">
        <v>0</v>
      </c>
      <c r="AC24" s="7">
        <f>Z24*6.4</f>
        <v>32.256</v>
      </c>
      <c r="AE24">
        <v>1.2</v>
      </c>
      <c r="AF24" s="4">
        <f>AE24*3.6</f>
        <v>4.32</v>
      </c>
      <c r="AG24" s="4">
        <v>0</v>
      </c>
      <c r="AH24" s="4">
        <v>4.3</v>
      </c>
      <c r="AI24" s="7">
        <f>AF24*10.27</f>
        <v>44.366399999999999</v>
      </c>
      <c r="AJ24" s="4">
        <v>111</v>
      </c>
      <c r="AK24">
        <v>0.4</v>
      </c>
      <c r="AL24" s="4">
        <f t="shared" ref="AL24:AL31" si="42">AK24*3.6</f>
        <v>1.4400000000000002</v>
      </c>
      <c r="AM24" s="4">
        <v>0.6</v>
      </c>
      <c r="AN24" s="4">
        <v>0.8</v>
      </c>
      <c r="AO24">
        <f>AK24*12.5</f>
        <v>5</v>
      </c>
      <c r="AP24" s="7">
        <f t="shared" ref="AP24:AP31" si="43">AK24/2.8*1000</f>
        <v>142.85714285714289</v>
      </c>
      <c r="AQ24">
        <v>0.4</v>
      </c>
      <c r="AR24" s="4">
        <f t="shared" ref="AR24:AR31" si="44">AQ24*3.6</f>
        <v>1.4400000000000002</v>
      </c>
      <c r="AS24" s="4">
        <v>1.4400000000000002</v>
      </c>
      <c r="AT24" s="4">
        <v>0</v>
      </c>
      <c r="AV24">
        <v>215</v>
      </c>
      <c r="AW24">
        <v>0.3</v>
      </c>
      <c r="AX24" s="4">
        <f t="shared" ref="AX24:AX31" si="45">AW24*3.6</f>
        <v>1.08</v>
      </c>
      <c r="AY24" s="4">
        <v>0</v>
      </c>
      <c r="AZ24" s="4">
        <v>1.08</v>
      </c>
      <c r="BA24">
        <v>0</v>
      </c>
      <c r="BB24" s="7">
        <f t="shared" ref="BB24:BB31" si="46">AW24/5.1*1000</f>
        <v>58.823529411764703</v>
      </c>
      <c r="BC24">
        <v>0.1</v>
      </c>
      <c r="BD24" s="4">
        <f>BC24*3.6</f>
        <v>0.36000000000000004</v>
      </c>
      <c r="BE24" s="4">
        <v>0</v>
      </c>
      <c r="BF24" s="4">
        <v>0.36</v>
      </c>
      <c r="BG24" s="4">
        <f>BD24*13.7</f>
        <v>4.9320000000000004</v>
      </c>
      <c r="BH24" s="7">
        <f>BC24/11.6*1000</f>
        <v>8.6206896551724128</v>
      </c>
      <c r="BI24">
        <v>0.1</v>
      </c>
      <c r="BJ24" s="4">
        <f t="shared" ref="BJ24:BJ29" si="47">BI24*3.6</f>
        <v>0.36000000000000004</v>
      </c>
      <c r="BK24" s="4">
        <v>0</v>
      </c>
      <c r="BL24" s="4">
        <v>0.4</v>
      </c>
      <c r="BM24" s="4">
        <f>BJ24*4</f>
        <v>1.4400000000000002</v>
      </c>
      <c r="BN24" s="4">
        <f t="shared" ref="BN24:BN29" si="48">BI24/7*1000</f>
        <v>14.285714285714286</v>
      </c>
      <c r="BO24">
        <v>0.1</v>
      </c>
      <c r="BP24" s="4">
        <f t="shared" ref="BP24:BP31" si="49">BO24*3.6</f>
        <v>0.36000000000000004</v>
      </c>
      <c r="BQ24" s="4">
        <v>0</v>
      </c>
      <c r="BR24" s="4">
        <v>0.36000000000000004</v>
      </c>
    </row>
    <row r="25" spans="1:70" x14ac:dyDescent="0.3">
      <c r="A25">
        <v>2020</v>
      </c>
      <c r="C25" s="4">
        <v>19.529411764705884</v>
      </c>
      <c r="D25" s="4">
        <v>70.305882352941182</v>
      </c>
      <c r="E25" s="4">
        <v>21.18</v>
      </c>
      <c r="F25" s="4">
        <v>49.13</v>
      </c>
      <c r="G25">
        <v>6.7</v>
      </c>
      <c r="H25" s="4">
        <f t="shared" si="36"/>
        <v>24.12</v>
      </c>
      <c r="I25" s="4">
        <v>13.52</v>
      </c>
      <c r="J25" s="4">
        <v>10.58</v>
      </c>
      <c r="K25" s="7">
        <f>H25*5.4</f>
        <v>130.24800000000002</v>
      </c>
      <c r="L25" s="7">
        <f t="shared" si="37"/>
        <v>2310.344827586207</v>
      </c>
      <c r="M25">
        <v>3.6</v>
      </c>
      <c r="N25">
        <f t="shared" si="38"/>
        <v>12.96</v>
      </c>
      <c r="O25">
        <v>0</v>
      </c>
      <c r="P25">
        <v>12.96</v>
      </c>
      <c r="Q25" s="7">
        <f>92.6*R25/1000</f>
        <v>63.497142857142848</v>
      </c>
      <c r="R25" s="7">
        <f t="shared" si="39"/>
        <v>685.71428571428567</v>
      </c>
      <c r="S25">
        <v>5.7</v>
      </c>
      <c r="T25">
        <f t="shared" si="40"/>
        <v>20.52</v>
      </c>
      <c r="U25">
        <v>0.52</v>
      </c>
      <c r="V25">
        <v>20</v>
      </c>
      <c r="W25" s="7">
        <f>T25*10.21</f>
        <v>209.50920000000002</v>
      </c>
      <c r="X25" s="7">
        <f t="shared" si="41"/>
        <v>612.53731343283584</v>
      </c>
      <c r="Y25">
        <v>0.1</v>
      </c>
      <c r="Z25">
        <f>Y25*3.6</f>
        <v>0.36000000000000004</v>
      </c>
      <c r="AA25">
        <v>0.36</v>
      </c>
      <c r="AB25">
        <v>0</v>
      </c>
      <c r="AC25" s="7">
        <f>Z25*6.18</f>
        <v>2.2248000000000001</v>
      </c>
      <c r="AE25">
        <v>0.7</v>
      </c>
      <c r="AF25">
        <f>AE25*3.6</f>
        <v>2.52</v>
      </c>
      <c r="AG25">
        <v>0</v>
      </c>
      <c r="AH25">
        <v>2.52</v>
      </c>
      <c r="AI25" s="7">
        <f>AF25*10.65</f>
        <v>26.838000000000001</v>
      </c>
      <c r="AJ25">
        <v>65</v>
      </c>
      <c r="AK25">
        <v>0.4</v>
      </c>
      <c r="AL25">
        <f t="shared" si="42"/>
        <v>1.4400000000000002</v>
      </c>
      <c r="AM25">
        <v>0.6</v>
      </c>
      <c r="AN25">
        <v>0.84</v>
      </c>
      <c r="AO25" s="4">
        <f>AK25*13.4</f>
        <v>5.36</v>
      </c>
      <c r="AP25" s="7">
        <f t="shared" si="43"/>
        <v>142.85714285714289</v>
      </c>
      <c r="AQ25">
        <v>0.4</v>
      </c>
      <c r="AR25">
        <f t="shared" si="44"/>
        <v>1.4400000000000002</v>
      </c>
      <c r="AS25">
        <v>1.4400000000000002</v>
      </c>
      <c r="AT25">
        <v>0</v>
      </c>
      <c r="AV25">
        <v>215</v>
      </c>
      <c r="AW25">
        <v>0.3</v>
      </c>
      <c r="AX25">
        <f t="shared" si="45"/>
        <v>1.08</v>
      </c>
      <c r="AY25">
        <v>0</v>
      </c>
      <c r="AZ25">
        <v>1.08</v>
      </c>
      <c r="BB25" s="7">
        <f t="shared" si="46"/>
        <v>58.823529411764703</v>
      </c>
      <c r="BC25">
        <v>0.1</v>
      </c>
      <c r="BD25">
        <f>BC25*3.6</f>
        <v>0.36000000000000004</v>
      </c>
      <c r="BE25">
        <v>0</v>
      </c>
      <c r="BF25">
        <v>0.36</v>
      </c>
      <c r="BG25" s="4">
        <f>BD25*14.6</f>
        <v>5.2560000000000002</v>
      </c>
      <c r="BH25" s="7">
        <f>BC25/11.6*1000</f>
        <v>8.6206896551724128</v>
      </c>
      <c r="BI25">
        <v>1.4</v>
      </c>
      <c r="BJ25">
        <f t="shared" si="47"/>
        <v>5.04</v>
      </c>
      <c r="BK25">
        <v>4.6399999999999997</v>
      </c>
      <c r="BL25">
        <v>0.4</v>
      </c>
      <c r="BM25" s="4">
        <f>BJ25*3.3125</f>
        <v>16.695</v>
      </c>
      <c r="BN25">
        <f t="shared" si="48"/>
        <v>199.99999999999997</v>
      </c>
      <c r="BO25">
        <v>0.1</v>
      </c>
      <c r="BP25">
        <f t="shared" si="49"/>
        <v>0.36000000000000004</v>
      </c>
      <c r="BQ25">
        <v>0</v>
      </c>
      <c r="BR25">
        <v>0.36000000000000004</v>
      </c>
    </row>
    <row r="26" spans="1:70" x14ac:dyDescent="0.3">
      <c r="A26">
        <v>2025</v>
      </c>
      <c r="C26" s="4">
        <v>18.61012311901505</v>
      </c>
      <c r="D26" s="4">
        <v>66.996443228454183</v>
      </c>
      <c r="E26" s="4">
        <v>18.71</v>
      </c>
      <c r="F26" s="4">
        <v>48.28</v>
      </c>
      <c r="G26">
        <v>7</v>
      </c>
      <c r="H26" s="4">
        <f t="shared" si="36"/>
        <v>25.2</v>
      </c>
      <c r="I26" s="4">
        <v>11.62</v>
      </c>
      <c r="J26" s="4">
        <v>13.58</v>
      </c>
      <c r="K26" s="7">
        <f>H26*5.9</f>
        <v>148.68</v>
      </c>
      <c r="L26" s="7">
        <f t="shared" si="37"/>
        <v>2413.7931034482758</v>
      </c>
      <c r="M26">
        <v>3.4</v>
      </c>
      <c r="N26">
        <f t="shared" si="38"/>
        <v>12.24</v>
      </c>
      <c r="O26">
        <v>0</v>
      </c>
      <c r="P26">
        <v>12.24</v>
      </c>
      <c r="Q26" s="7">
        <f>99.7*R26/1000</f>
        <v>64.567619047619061</v>
      </c>
      <c r="R26" s="7">
        <f t="shared" si="39"/>
        <v>647.61904761904771</v>
      </c>
      <c r="S26">
        <v>5</v>
      </c>
      <c r="T26">
        <f t="shared" si="40"/>
        <v>18</v>
      </c>
      <c r="V26">
        <v>18</v>
      </c>
      <c r="W26" s="7">
        <f>T26*10.45</f>
        <v>188.1</v>
      </c>
      <c r="X26" s="7">
        <f t="shared" si="41"/>
        <v>537.31343283582089</v>
      </c>
      <c r="Y26">
        <v>0.1</v>
      </c>
      <c r="Z26">
        <f>Y26*3.6</f>
        <v>0.36000000000000004</v>
      </c>
      <c r="AA26">
        <v>0.36</v>
      </c>
      <c r="AB26">
        <v>0</v>
      </c>
      <c r="AC26" s="7">
        <f>Z26*5.99</f>
        <v>2.1564000000000005</v>
      </c>
      <c r="AE26">
        <v>0.4</v>
      </c>
      <c r="AF26">
        <f>AE26*3.6</f>
        <v>1.4400000000000002</v>
      </c>
      <c r="AG26">
        <v>0</v>
      </c>
      <c r="AH26">
        <v>1.44</v>
      </c>
      <c r="AI26" s="7">
        <f>AF26*11.21</f>
        <v>16.142400000000002</v>
      </c>
      <c r="AJ26">
        <v>37</v>
      </c>
      <c r="AK26">
        <v>0.4</v>
      </c>
      <c r="AL26">
        <f t="shared" si="42"/>
        <v>1.4400000000000002</v>
      </c>
      <c r="AM26">
        <v>0.6</v>
      </c>
      <c r="AN26">
        <v>0.84</v>
      </c>
      <c r="AO26" s="4">
        <f>AK26*14.4</f>
        <v>5.7600000000000007</v>
      </c>
      <c r="AP26" s="7">
        <f t="shared" si="43"/>
        <v>142.85714285714289</v>
      </c>
      <c r="AQ26">
        <v>0.4</v>
      </c>
      <c r="AR26">
        <f t="shared" si="44"/>
        <v>1.4400000000000002</v>
      </c>
      <c r="AS26">
        <v>1.4400000000000002</v>
      </c>
      <c r="AT26">
        <v>0</v>
      </c>
      <c r="AV26">
        <v>215</v>
      </c>
      <c r="AW26">
        <v>0.3</v>
      </c>
      <c r="AX26">
        <f t="shared" si="45"/>
        <v>1.08</v>
      </c>
      <c r="AY26">
        <v>0</v>
      </c>
      <c r="AZ26">
        <v>1.08</v>
      </c>
      <c r="BB26" s="7">
        <f t="shared" si="46"/>
        <v>58.823529411764703</v>
      </c>
      <c r="BC26">
        <v>0</v>
      </c>
      <c r="BD26">
        <v>0</v>
      </c>
      <c r="BE26">
        <v>0</v>
      </c>
      <c r="BF26">
        <v>0</v>
      </c>
      <c r="BI26">
        <v>1.4</v>
      </c>
      <c r="BJ26">
        <f t="shared" si="47"/>
        <v>5.04</v>
      </c>
      <c r="BK26">
        <v>4.6399999999999997</v>
      </c>
      <c r="BL26">
        <v>0.4</v>
      </c>
      <c r="BM26" s="4">
        <f>BJ26*3.4</f>
        <v>17.135999999999999</v>
      </c>
      <c r="BN26">
        <f t="shared" si="48"/>
        <v>199.99999999999997</v>
      </c>
      <c r="BO26">
        <v>0.2</v>
      </c>
      <c r="BP26">
        <f t="shared" si="49"/>
        <v>0.72000000000000008</v>
      </c>
      <c r="BQ26">
        <v>0</v>
      </c>
      <c r="BR26">
        <v>0.72000000000000008</v>
      </c>
    </row>
    <row r="27" spans="1:70" x14ac:dyDescent="0.3">
      <c r="A27">
        <v>2030</v>
      </c>
      <c r="C27" s="4">
        <v>17.744385026737969</v>
      </c>
      <c r="D27" s="4">
        <v>63.879786096256694</v>
      </c>
      <c r="E27" s="4">
        <v>17.04</v>
      </c>
      <c r="F27" s="4">
        <v>46.84</v>
      </c>
      <c r="G27">
        <v>7.7</v>
      </c>
      <c r="H27" s="4">
        <f t="shared" si="36"/>
        <v>27.720000000000002</v>
      </c>
      <c r="I27" s="4">
        <v>10.4</v>
      </c>
      <c r="J27" s="4">
        <v>17.28</v>
      </c>
      <c r="K27" s="7">
        <f>H27*6</f>
        <v>166.32000000000002</v>
      </c>
      <c r="L27" s="7">
        <f t="shared" si="37"/>
        <v>2655.1724137931037</v>
      </c>
      <c r="M27">
        <v>3.2</v>
      </c>
      <c r="N27">
        <f t="shared" si="38"/>
        <v>11.520000000000001</v>
      </c>
      <c r="O27">
        <v>0</v>
      </c>
      <c r="P27">
        <v>11.520000000000001</v>
      </c>
      <c r="Q27" s="7">
        <f>107.4*R27/1000</f>
        <v>65.46285714285716</v>
      </c>
      <c r="R27" s="7">
        <f t="shared" si="39"/>
        <v>609.52380952380963</v>
      </c>
      <c r="S27">
        <v>4.0999999999999996</v>
      </c>
      <c r="T27">
        <f t="shared" si="40"/>
        <v>14.76</v>
      </c>
      <c r="V27">
        <v>14.76</v>
      </c>
      <c r="W27" s="7">
        <f>T27*10.56</f>
        <v>155.8656</v>
      </c>
      <c r="X27" s="7">
        <f t="shared" si="41"/>
        <v>440.59701492537312</v>
      </c>
      <c r="Y27">
        <v>0</v>
      </c>
      <c r="AA27">
        <v>0</v>
      </c>
      <c r="AB27">
        <v>0</v>
      </c>
      <c r="AE27">
        <v>0</v>
      </c>
      <c r="AK27">
        <v>0.3</v>
      </c>
      <c r="AL27">
        <f t="shared" si="42"/>
        <v>1.08</v>
      </c>
      <c r="AM27">
        <v>0.4</v>
      </c>
      <c r="AN27">
        <v>0.68</v>
      </c>
      <c r="AO27" s="4">
        <f>AK27*15.5</f>
        <v>4.6499999999999995</v>
      </c>
      <c r="AP27" s="7">
        <f t="shared" si="43"/>
        <v>107.14285714285715</v>
      </c>
      <c r="AQ27">
        <v>0.4</v>
      </c>
      <c r="AR27">
        <f t="shared" si="44"/>
        <v>1.4400000000000002</v>
      </c>
      <c r="AS27">
        <v>1.4400000000000002</v>
      </c>
      <c r="AT27">
        <v>0</v>
      </c>
      <c r="AV27">
        <v>215</v>
      </c>
      <c r="AW27">
        <v>0.4</v>
      </c>
      <c r="AX27">
        <f t="shared" si="45"/>
        <v>1.4400000000000002</v>
      </c>
      <c r="AY27">
        <v>0</v>
      </c>
      <c r="AZ27">
        <v>1.4400000000000002</v>
      </c>
      <c r="BB27" s="7">
        <f t="shared" si="46"/>
        <v>78.431372549019628</v>
      </c>
      <c r="BC27">
        <v>0</v>
      </c>
      <c r="BD27">
        <v>0</v>
      </c>
      <c r="BE27">
        <v>0</v>
      </c>
      <c r="BF27">
        <v>0</v>
      </c>
      <c r="BI27">
        <v>1.4</v>
      </c>
      <c r="BJ27">
        <f t="shared" si="47"/>
        <v>5.04</v>
      </c>
      <c r="BK27">
        <v>4.6399999999999997</v>
      </c>
      <c r="BL27">
        <v>0.4</v>
      </c>
      <c r="BM27" s="4">
        <f>BJ27*3.43</f>
        <v>17.287200000000002</v>
      </c>
      <c r="BN27">
        <f t="shared" si="48"/>
        <v>199.99999999999997</v>
      </c>
      <c r="BO27">
        <v>0.2</v>
      </c>
      <c r="BP27">
        <f t="shared" si="49"/>
        <v>0.72000000000000008</v>
      </c>
      <c r="BQ27">
        <v>0</v>
      </c>
      <c r="BR27">
        <v>0.72000000000000008</v>
      </c>
    </row>
    <row r="28" spans="1:70" x14ac:dyDescent="0.3">
      <c r="A28">
        <v>2035</v>
      </c>
      <c r="C28" s="4">
        <v>16.160427807486631</v>
      </c>
      <c r="D28" s="4">
        <v>58.177540106951874</v>
      </c>
      <c r="E28" s="4">
        <v>15.4</v>
      </c>
      <c r="F28" s="4">
        <v>42.78</v>
      </c>
      <c r="G28">
        <v>7.5</v>
      </c>
      <c r="H28" s="4">
        <f t="shared" si="36"/>
        <v>27</v>
      </c>
      <c r="I28" s="4">
        <v>10.5</v>
      </c>
      <c r="J28" s="4">
        <v>16.52</v>
      </c>
      <c r="K28" s="7">
        <f>H28*6.3</f>
        <v>170.1</v>
      </c>
      <c r="L28" s="7">
        <f t="shared" si="37"/>
        <v>2586.2068965517242</v>
      </c>
      <c r="M28">
        <v>3</v>
      </c>
      <c r="N28">
        <f t="shared" si="38"/>
        <v>10.8</v>
      </c>
      <c r="O28">
        <v>0</v>
      </c>
      <c r="P28">
        <v>10.8</v>
      </c>
      <c r="Q28" s="7">
        <f>115.7*R28/1000</f>
        <v>66.114285714285728</v>
      </c>
      <c r="R28" s="7">
        <f t="shared" si="39"/>
        <v>571.42857142857144</v>
      </c>
      <c r="S28">
        <v>3.4</v>
      </c>
      <c r="T28">
        <f t="shared" si="40"/>
        <v>12.24</v>
      </c>
      <c r="V28">
        <v>12.24</v>
      </c>
      <c r="W28" s="7">
        <f>T28*10.9</f>
        <v>133.416</v>
      </c>
      <c r="X28" s="7">
        <f t="shared" si="41"/>
        <v>365.37313432835822</v>
      </c>
      <c r="Y28">
        <v>0</v>
      </c>
      <c r="AA28">
        <v>0</v>
      </c>
      <c r="AB28">
        <v>0</v>
      </c>
      <c r="AE28">
        <v>0</v>
      </c>
      <c r="AK28">
        <v>0.3</v>
      </c>
      <c r="AL28">
        <f t="shared" si="42"/>
        <v>1.08</v>
      </c>
      <c r="AM28">
        <v>0.4</v>
      </c>
      <c r="AN28">
        <v>0.68</v>
      </c>
      <c r="AO28" s="4">
        <f>AK28*16.7</f>
        <v>5.01</v>
      </c>
      <c r="AP28" s="7">
        <f t="shared" si="43"/>
        <v>107.14285714285715</v>
      </c>
      <c r="AQ28">
        <v>0.4</v>
      </c>
      <c r="AR28">
        <f t="shared" si="44"/>
        <v>1.4400000000000002</v>
      </c>
      <c r="AS28">
        <v>1.4400000000000002</v>
      </c>
      <c r="AT28">
        <v>0</v>
      </c>
      <c r="AV28">
        <v>215</v>
      </c>
      <c r="AW28">
        <v>0.4</v>
      </c>
      <c r="AX28">
        <f t="shared" si="45"/>
        <v>1.4400000000000002</v>
      </c>
      <c r="AY28">
        <v>0</v>
      </c>
      <c r="AZ28">
        <v>1.4400000000000002</v>
      </c>
      <c r="BB28" s="7">
        <f t="shared" si="46"/>
        <v>78.431372549019628</v>
      </c>
      <c r="BC28">
        <v>0</v>
      </c>
      <c r="BD28">
        <v>0</v>
      </c>
      <c r="BE28">
        <v>0</v>
      </c>
      <c r="BF28">
        <v>0</v>
      </c>
      <c r="BI28">
        <v>1</v>
      </c>
      <c r="BJ28">
        <f t="shared" si="47"/>
        <v>3.6</v>
      </c>
      <c r="BK28">
        <v>3.2</v>
      </c>
      <c r="BL28">
        <v>0.4</v>
      </c>
      <c r="BM28" s="4">
        <f>BJ28*3.437</f>
        <v>12.373199999999999</v>
      </c>
      <c r="BN28" s="7">
        <f t="shared" si="48"/>
        <v>142.85714285714286</v>
      </c>
      <c r="BO28">
        <v>0.2</v>
      </c>
      <c r="BP28">
        <f t="shared" si="49"/>
        <v>0.72000000000000008</v>
      </c>
      <c r="BQ28">
        <v>0</v>
      </c>
      <c r="BR28">
        <v>0.72000000000000008</v>
      </c>
    </row>
    <row r="29" spans="1:70" x14ac:dyDescent="0.3">
      <c r="A29">
        <v>2040</v>
      </c>
      <c r="C29" s="4">
        <v>14.524785194976866</v>
      </c>
      <c r="D29" s="4">
        <v>52.289226701916718</v>
      </c>
      <c r="E29" s="4">
        <v>13.32</v>
      </c>
      <c r="F29" s="4">
        <v>38.96</v>
      </c>
      <c r="G29">
        <v>6.6</v>
      </c>
      <c r="H29" s="4">
        <f t="shared" si="36"/>
        <v>23.759999999999998</v>
      </c>
      <c r="I29" s="4">
        <v>8.92</v>
      </c>
      <c r="J29" s="4">
        <v>14.88</v>
      </c>
      <c r="K29" s="7">
        <f>H29*6.5</f>
        <v>154.44</v>
      </c>
      <c r="L29" s="7">
        <f t="shared" si="37"/>
        <v>2275.8620689655172</v>
      </c>
      <c r="M29">
        <v>2.7</v>
      </c>
      <c r="N29">
        <f t="shared" si="38"/>
        <v>9.7200000000000006</v>
      </c>
      <c r="O29">
        <v>0</v>
      </c>
      <c r="P29">
        <v>9.7200000000000006</v>
      </c>
      <c r="Q29" s="7">
        <f>124.6*R29/1000</f>
        <v>64.08</v>
      </c>
      <c r="R29" s="7">
        <f t="shared" si="39"/>
        <v>514.28571428571433</v>
      </c>
      <c r="S29">
        <v>3</v>
      </c>
      <c r="T29">
        <f t="shared" si="40"/>
        <v>10.8</v>
      </c>
      <c r="V29">
        <v>10.8</v>
      </c>
      <c r="W29" s="7">
        <f>T29*11.88</f>
        <v>128.30400000000003</v>
      </c>
      <c r="X29" s="7">
        <f t="shared" si="41"/>
        <v>322.38805970149252</v>
      </c>
      <c r="Y29">
        <v>0</v>
      </c>
      <c r="AA29">
        <v>0</v>
      </c>
      <c r="AB29">
        <v>0</v>
      </c>
      <c r="AE29">
        <v>0</v>
      </c>
      <c r="AK29">
        <v>0.3</v>
      </c>
      <c r="AL29">
        <f t="shared" si="42"/>
        <v>1.08</v>
      </c>
      <c r="AM29">
        <v>0.4</v>
      </c>
      <c r="AN29">
        <v>0.68</v>
      </c>
      <c r="AO29">
        <f>AK29*18</f>
        <v>5.3999999999999995</v>
      </c>
      <c r="AP29" s="7">
        <f t="shared" si="43"/>
        <v>107.14285714285715</v>
      </c>
      <c r="AQ29">
        <v>0.4</v>
      </c>
      <c r="AR29">
        <f t="shared" si="44"/>
        <v>1.4400000000000002</v>
      </c>
      <c r="AS29">
        <v>1.4400000000000002</v>
      </c>
      <c r="AT29">
        <v>0</v>
      </c>
      <c r="AV29">
        <v>215</v>
      </c>
      <c r="AW29">
        <v>0.4</v>
      </c>
      <c r="AX29">
        <f t="shared" si="45"/>
        <v>1.4400000000000002</v>
      </c>
      <c r="AY29">
        <v>0</v>
      </c>
      <c r="AZ29">
        <v>1.4400000000000002</v>
      </c>
      <c r="BB29" s="7">
        <f t="shared" si="46"/>
        <v>78.431372549019628</v>
      </c>
      <c r="BC29">
        <v>0</v>
      </c>
      <c r="BD29">
        <v>0</v>
      </c>
      <c r="BE29">
        <v>0</v>
      </c>
      <c r="BF29">
        <v>0</v>
      </c>
      <c r="BI29">
        <v>0.8</v>
      </c>
      <c r="BJ29">
        <f t="shared" si="47"/>
        <v>2.8800000000000003</v>
      </c>
      <c r="BK29">
        <v>2.48</v>
      </c>
      <c r="BL29">
        <v>0.4</v>
      </c>
      <c r="BM29">
        <f>BJ29*3.4375</f>
        <v>9.9</v>
      </c>
      <c r="BN29" s="7">
        <f t="shared" si="48"/>
        <v>114.28571428571429</v>
      </c>
      <c r="BO29">
        <v>0.3</v>
      </c>
      <c r="BP29">
        <f t="shared" si="49"/>
        <v>1.08</v>
      </c>
      <c r="BQ29">
        <v>0</v>
      </c>
      <c r="BR29">
        <v>1.08</v>
      </c>
    </row>
    <row r="30" spans="1:70" x14ac:dyDescent="0.3">
      <c r="A30">
        <v>2045</v>
      </c>
      <c r="C30" s="4">
        <v>13.187045604758758</v>
      </c>
      <c r="D30" s="4">
        <v>47.473364177131529</v>
      </c>
      <c r="E30" s="4">
        <v>11.9</v>
      </c>
      <c r="F30" s="4">
        <v>35.58</v>
      </c>
      <c r="G30">
        <v>6</v>
      </c>
      <c r="H30" s="4">
        <f t="shared" si="36"/>
        <v>21.6</v>
      </c>
      <c r="I30" s="4">
        <v>9.4</v>
      </c>
      <c r="J30" s="4">
        <v>12.2</v>
      </c>
      <c r="K30" s="7">
        <f>H30*6.8</f>
        <v>146.88</v>
      </c>
      <c r="L30" s="7">
        <f t="shared" si="37"/>
        <v>2068.9655172413795</v>
      </c>
      <c r="M30">
        <v>2.7</v>
      </c>
      <c r="N30">
        <f t="shared" si="38"/>
        <v>9.7200000000000006</v>
      </c>
      <c r="O30">
        <v>0</v>
      </c>
      <c r="P30">
        <v>9.7200000000000006</v>
      </c>
      <c r="Q30" s="7">
        <f>134.2*R30/1000</f>
        <v>69.017142857142858</v>
      </c>
      <c r="R30" s="7">
        <f t="shared" si="39"/>
        <v>514.28571428571433</v>
      </c>
      <c r="S30">
        <v>3.1</v>
      </c>
      <c r="T30">
        <f t="shared" si="40"/>
        <v>11.16</v>
      </c>
      <c r="U30">
        <v>1</v>
      </c>
      <c r="V30">
        <v>10.16</v>
      </c>
      <c r="W30" s="7">
        <f>T30*12.87</f>
        <v>143.6292</v>
      </c>
      <c r="X30" s="7">
        <f t="shared" si="41"/>
        <v>333.13432835820896</v>
      </c>
      <c r="Y30">
        <v>0</v>
      </c>
      <c r="AA30">
        <v>0</v>
      </c>
      <c r="AB30">
        <v>0</v>
      </c>
      <c r="AE30">
        <v>0</v>
      </c>
      <c r="AK30">
        <v>0.3</v>
      </c>
      <c r="AL30">
        <f t="shared" si="42"/>
        <v>1.08</v>
      </c>
      <c r="AM30">
        <v>0.4</v>
      </c>
      <c r="AN30">
        <v>0.68</v>
      </c>
      <c r="AO30" s="4">
        <f>AK30*19.4</f>
        <v>5.8199999999999994</v>
      </c>
      <c r="AP30" s="7">
        <f t="shared" si="43"/>
        <v>107.14285714285715</v>
      </c>
      <c r="AQ30">
        <v>0.3</v>
      </c>
      <c r="AR30">
        <f t="shared" si="44"/>
        <v>1.08</v>
      </c>
      <c r="AS30">
        <v>1.08</v>
      </c>
      <c r="AT30">
        <v>0</v>
      </c>
      <c r="AV30">
        <v>161</v>
      </c>
      <c r="AW30">
        <v>0.5</v>
      </c>
      <c r="AX30">
        <f t="shared" si="45"/>
        <v>1.8</v>
      </c>
      <c r="AY30">
        <v>0</v>
      </c>
      <c r="AZ30">
        <v>1.8</v>
      </c>
      <c r="BB30" s="7">
        <f t="shared" si="46"/>
        <v>98.039215686274517</v>
      </c>
      <c r="BC30">
        <v>0</v>
      </c>
      <c r="BD30">
        <v>0</v>
      </c>
      <c r="BE30">
        <v>0</v>
      </c>
      <c r="BF30">
        <v>0</v>
      </c>
      <c r="BI30">
        <v>0</v>
      </c>
      <c r="BK30">
        <v>0</v>
      </c>
      <c r="BL30">
        <v>0</v>
      </c>
      <c r="BO30">
        <v>0.3</v>
      </c>
      <c r="BP30">
        <f t="shared" si="49"/>
        <v>1.08</v>
      </c>
      <c r="BQ30">
        <v>0</v>
      </c>
      <c r="BR30">
        <v>1.08</v>
      </c>
    </row>
    <row r="31" spans="1:70" x14ac:dyDescent="0.3">
      <c r="A31">
        <v>2050</v>
      </c>
      <c r="C31" s="4">
        <v>11.816993464052288</v>
      </c>
      <c r="D31" s="4">
        <v>42.54117647058824</v>
      </c>
      <c r="E31" s="4">
        <v>10.35</v>
      </c>
      <c r="F31" s="4">
        <v>32.19</v>
      </c>
      <c r="G31">
        <v>5</v>
      </c>
      <c r="H31" s="4">
        <f t="shared" si="36"/>
        <v>18</v>
      </c>
      <c r="I31" s="4">
        <v>7.8</v>
      </c>
      <c r="J31" s="4">
        <v>10.199999999999999</v>
      </c>
      <c r="K31" s="7">
        <f>H31*7.1</f>
        <v>127.8</v>
      </c>
      <c r="L31" s="7">
        <f t="shared" si="37"/>
        <v>1724.1379310344828</v>
      </c>
      <c r="M31">
        <v>2.5</v>
      </c>
      <c r="N31">
        <f t="shared" si="38"/>
        <v>9</v>
      </c>
      <c r="O31">
        <v>0</v>
      </c>
      <c r="P31">
        <v>9</v>
      </c>
      <c r="Q31" s="7">
        <f>144.5*R31/1000</f>
        <v>68.809523809523796</v>
      </c>
      <c r="R31" s="7">
        <f t="shared" si="39"/>
        <v>476.19047619047615</v>
      </c>
      <c r="S31">
        <v>2.9</v>
      </c>
      <c r="T31">
        <f t="shared" si="40"/>
        <v>10.44</v>
      </c>
      <c r="U31">
        <v>1</v>
      </c>
      <c r="V31">
        <v>9.44</v>
      </c>
      <c r="W31" s="7">
        <f>T31*13.85</f>
        <v>144.59399999999999</v>
      </c>
      <c r="X31" s="7">
        <f t="shared" si="41"/>
        <v>311.64179104477614</v>
      </c>
      <c r="Y31">
        <v>0</v>
      </c>
      <c r="AA31">
        <v>0</v>
      </c>
      <c r="AB31">
        <v>0</v>
      </c>
      <c r="AE31">
        <v>0</v>
      </c>
      <c r="AK31">
        <v>0.3</v>
      </c>
      <c r="AL31">
        <f t="shared" si="42"/>
        <v>1.08</v>
      </c>
      <c r="AM31">
        <v>0.4</v>
      </c>
      <c r="AN31">
        <v>0.68</v>
      </c>
      <c r="AO31" s="4">
        <f>AK31*20.9</f>
        <v>6.27</v>
      </c>
      <c r="AP31" s="7">
        <f t="shared" si="43"/>
        <v>107.14285714285715</v>
      </c>
      <c r="AQ31">
        <v>0.3</v>
      </c>
      <c r="AR31">
        <f t="shared" si="44"/>
        <v>1.08</v>
      </c>
      <c r="AS31">
        <v>1.08</v>
      </c>
      <c r="AT31">
        <v>0</v>
      </c>
      <c r="AV31">
        <v>161</v>
      </c>
      <c r="AW31">
        <v>0.5</v>
      </c>
      <c r="AX31">
        <f t="shared" si="45"/>
        <v>1.8</v>
      </c>
      <c r="AY31">
        <v>0</v>
      </c>
      <c r="AZ31">
        <v>1.8</v>
      </c>
      <c r="BB31" s="7">
        <f t="shared" si="46"/>
        <v>98.039215686274517</v>
      </c>
      <c r="BC31">
        <v>0</v>
      </c>
      <c r="BD31">
        <v>0</v>
      </c>
      <c r="BE31">
        <v>0</v>
      </c>
      <c r="BF31">
        <v>0</v>
      </c>
      <c r="BI31">
        <v>0</v>
      </c>
      <c r="BK31">
        <v>0</v>
      </c>
      <c r="BL31">
        <v>0</v>
      </c>
      <c r="BO31">
        <v>0.3</v>
      </c>
      <c r="BP31">
        <f t="shared" si="49"/>
        <v>1.08</v>
      </c>
      <c r="BQ31">
        <v>0</v>
      </c>
      <c r="BR31">
        <v>1.08</v>
      </c>
    </row>
    <row r="35" spans="1:3" x14ac:dyDescent="0.3">
      <c r="A35" t="s">
        <v>127</v>
      </c>
      <c r="B35">
        <v>2.9</v>
      </c>
      <c r="C35" t="s">
        <v>126</v>
      </c>
    </row>
    <row r="36" spans="1:3" x14ac:dyDescent="0.3">
      <c r="A36" t="s">
        <v>128</v>
      </c>
      <c r="B36">
        <v>5.25</v>
      </c>
      <c r="C36" t="s">
        <v>126</v>
      </c>
    </row>
    <row r="37" spans="1:3" x14ac:dyDescent="0.3">
      <c r="A37" t="s">
        <v>129</v>
      </c>
      <c r="B37">
        <v>33.5</v>
      </c>
      <c r="C37" t="s">
        <v>130</v>
      </c>
    </row>
    <row r="38" spans="1:3" x14ac:dyDescent="0.3">
      <c r="A38" t="s">
        <v>0</v>
      </c>
      <c r="B38">
        <v>8.4</v>
      </c>
      <c r="C38" t="s">
        <v>131</v>
      </c>
    </row>
    <row r="39" spans="1:3" x14ac:dyDescent="0.3">
      <c r="A39" t="s">
        <v>2</v>
      </c>
      <c r="B39">
        <v>2.8</v>
      </c>
      <c r="C39" t="s">
        <v>126</v>
      </c>
    </row>
    <row r="40" spans="1:3" x14ac:dyDescent="0.3">
      <c r="A40" t="s">
        <v>1</v>
      </c>
      <c r="B40">
        <v>5.0999999999999996</v>
      </c>
      <c r="C40" t="s">
        <v>126</v>
      </c>
    </row>
    <row r="41" spans="1:3" x14ac:dyDescent="0.3">
      <c r="A41" t="s">
        <v>105</v>
      </c>
      <c r="B41">
        <v>7</v>
      </c>
      <c r="C41" t="s">
        <v>126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2"/>
  <sheetViews>
    <sheetView workbookViewId="0">
      <selection activeCell="O7" sqref="O7"/>
    </sheetView>
  </sheetViews>
  <sheetFormatPr defaultRowHeight="14.4" x14ac:dyDescent="0.3"/>
  <sheetData>
    <row r="2" spans="1:23" x14ac:dyDescent="0.3">
      <c r="A2" s="1" t="s">
        <v>133</v>
      </c>
      <c r="B2" s="1"/>
      <c r="C2" s="1"/>
    </row>
    <row r="4" spans="1:23" x14ac:dyDescent="0.3">
      <c r="A4" t="s">
        <v>139</v>
      </c>
    </row>
    <row r="5" spans="1:23" x14ac:dyDescent="0.3">
      <c r="A5" s="1" t="s">
        <v>110</v>
      </c>
      <c r="E5">
        <v>2015</v>
      </c>
      <c r="F5">
        <v>2016</v>
      </c>
      <c r="G5">
        <v>2017</v>
      </c>
      <c r="H5">
        <v>2018</v>
      </c>
      <c r="I5">
        <v>2019</v>
      </c>
      <c r="J5">
        <v>2020</v>
      </c>
      <c r="K5">
        <v>2021</v>
      </c>
      <c r="L5">
        <v>2022</v>
      </c>
      <c r="M5">
        <v>2023</v>
      </c>
      <c r="N5">
        <v>2024</v>
      </c>
      <c r="O5">
        <v>2025</v>
      </c>
      <c r="P5">
        <v>2026</v>
      </c>
      <c r="Q5">
        <v>2027</v>
      </c>
      <c r="R5">
        <v>2028</v>
      </c>
      <c r="S5">
        <v>2029</v>
      </c>
      <c r="T5">
        <v>2030</v>
      </c>
    </row>
    <row r="6" spans="1:23" x14ac:dyDescent="0.3">
      <c r="A6" t="s">
        <v>134</v>
      </c>
      <c r="D6" t="s">
        <v>100</v>
      </c>
      <c r="E6">
        <v>4.5999999999999996</v>
      </c>
      <c r="F6">
        <v>4.5999999999999996</v>
      </c>
      <c r="G6">
        <v>4.5999999999999996</v>
      </c>
      <c r="H6">
        <v>4.55</v>
      </c>
      <c r="I6">
        <v>4.55</v>
      </c>
      <c r="J6">
        <v>4.55</v>
      </c>
      <c r="K6">
        <v>4.55</v>
      </c>
      <c r="L6">
        <v>4.5</v>
      </c>
      <c r="M6">
        <v>4.5</v>
      </c>
      <c r="N6">
        <v>4.5</v>
      </c>
      <c r="O6">
        <v>4.5</v>
      </c>
      <c r="P6">
        <v>4.5</v>
      </c>
      <c r="Q6">
        <v>4.47</v>
      </c>
      <c r="R6">
        <v>4.46</v>
      </c>
      <c r="S6">
        <v>4.45</v>
      </c>
      <c r="T6">
        <v>4.4400000000000004</v>
      </c>
      <c r="U6" t="s">
        <v>64</v>
      </c>
      <c r="V6">
        <f>SUM(E6:T6)</f>
        <v>72.319999999999993</v>
      </c>
    </row>
    <row r="7" spans="1:23" x14ac:dyDescent="0.3">
      <c r="A7" t="s">
        <v>135</v>
      </c>
      <c r="D7" t="s">
        <v>57</v>
      </c>
      <c r="E7">
        <v>60</v>
      </c>
      <c r="F7">
        <v>62</v>
      </c>
      <c r="G7">
        <v>64</v>
      </c>
      <c r="H7">
        <v>65</v>
      </c>
      <c r="I7">
        <v>67</v>
      </c>
      <c r="J7">
        <v>69</v>
      </c>
      <c r="K7">
        <v>70</v>
      </c>
      <c r="L7">
        <v>72</v>
      </c>
      <c r="M7">
        <v>74</v>
      </c>
      <c r="N7">
        <v>75</v>
      </c>
      <c r="O7">
        <v>77</v>
      </c>
      <c r="P7">
        <v>79</v>
      </c>
      <c r="Q7">
        <v>80</v>
      </c>
      <c r="R7">
        <v>82</v>
      </c>
      <c r="S7">
        <v>83</v>
      </c>
      <c r="T7">
        <v>84</v>
      </c>
    </row>
    <row r="8" spans="1:23" x14ac:dyDescent="0.3">
      <c r="A8" t="s">
        <v>136</v>
      </c>
      <c r="D8" t="s">
        <v>45</v>
      </c>
      <c r="E8" s="7">
        <f t="shared" ref="E8:T8" si="0">E6*E7</f>
        <v>276</v>
      </c>
      <c r="F8" s="7">
        <f t="shared" si="0"/>
        <v>285.2</v>
      </c>
      <c r="G8" s="7">
        <f t="shared" si="0"/>
        <v>294.39999999999998</v>
      </c>
      <c r="H8" s="7">
        <f t="shared" si="0"/>
        <v>295.75</v>
      </c>
      <c r="I8" s="7">
        <f t="shared" si="0"/>
        <v>304.84999999999997</v>
      </c>
      <c r="J8" s="7">
        <f t="shared" si="0"/>
        <v>313.95</v>
      </c>
      <c r="K8" s="7">
        <f t="shared" si="0"/>
        <v>318.5</v>
      </c>
      <c r="L8" s="7">
        <f t="shared" si="0"/>
        <v>324</v>
      </c>
      <c r="M8" s="7">
        <f t="shared" si="0"/>
        <v>333</v>
      </c>
      <c r="N8" s="7">
        <f t="shared" si="0"/>
        <v>337.5</v>
      </c>
      <c r="O8" s="7">
        <f t="shared" si="0"/>
        <v>346.5</v>
      </c>
      <c r="P8" s="7">
        <f t="shared" si="0"/>
        <v>355.5</v>
      </c>
      <c r="Q8" s="7">
        <f t="shared" si="0"/>
        <v>357.59999999999997</v>
      </c>
      <c r="R8" s="7">
        <f t="shared" si="0"/>
        <v>365.71999999999997</v>
      </c>
      <c r="S8" s="7">
        <f t="shared" si="0"/>
        <v>369.35</v>
      </c>
      <c r="T8" s="7">
        <f t="shared" si="0"/>
        <v>372.96000000000004</v>
      </c>
      <c r="U8" t="s">
        <v>51</v>
      </c>
      <c r="V8" s="7">
        <f>SUM(E8:T8)</f>
        <v>5250.7800000000007</v>
      </c>
    </row>
    <row r="9" spans="1:23" x14ac:dyDescent="0.3">
      <c r="A9" t="s">
        <v>137</v>
      </c>
      <c r="C9" s="29">
        <v>0.05</v>
      </c>
      <c r="D9" t="s">
        <v>45</v>
      </c>
      <c r="E9" s="7">
        <f>E8*C9</f>
        <v>13.8</v>
      </c>
      <c r="F9" s="7">
        <f>F8*C9</f>
        <v>14.26</v>
      </c>
      <c r="G9" s="7">
        <f>G8*C9</f>
        <v>14.719999999999999</v>
      </c>
      <c r="H9" s="7">
        <f>H8*C9</f>
        <v>14.787500000000001</v>
      </c>
      <c r="I9" s="7">
        <f>I8*C9</f>
        <v>15.2425</v>
      </c>
      <c r="J9" s="7">
        <f>J8*C9</f>
        <v>15.6975</v>
      </c>
      <c r="K9" s="7">
        <f>K8*C9</f>
        <v>15.925000000000001</v>
      </c>
      <c r="L9" s="7">
        <f>L8*C9</f>
        <v>16.2</v>
      </c>
      <c r="M9" s="7">
        <f>M8*C9</f>
        <v>16.650000000000002</v>
      </c>
      <c r="N9" s="7">
        <f>N8*C9</f>
        <v>16.875</v>
      </c>
      <c r="O9" s="7">
        <f>O8*C9</f>
        <v>17.324999999999999</v>
      </c>
      <c r="P9" s="7">
        <f>P8*C9</f>
        <v>17.775000000000002</v>
      </c>
      <c r="Q9" s="7">
        <f>Q8*C9</f>
        <v>17.88</v>
      </c>
      <c r="R9" s="7">
        <f>R8*C9</f>
        <v>18.285999999999998</v>
      </c>
      <c r="S9" s="7">
        <f>S8*C9</f>
        <v>18.467500000000001</v>
      </c>
      <c r="T9" s="7">
        <f>T8*C9</f>
        <v>18.648000000000003</v>
      </c>
    </row>
    <row r="10" spans="1:23" x14ac:dyDescent="0.3">
      <c r="A10" t="s">
        <v>138</v>
      </c>
      <c r="D10" t="s">
        <v>45</v>
      </c>
      <c r="E10" s="7">
        <f t="shared" ref="E10:T10" si="1">E8-E9</f>
        <v>262.2</v>
      </c>
      <c r="F10" s="7">
        <f t="shared" si="1"/>
        <v>270.94</v>
      </c>
      <c r="G10" s="7">
        <f t="shared" si="1"/>
        <v>279.67999999999995</v>
      </c>
      <c r="H10" s="7">
        <f t="shared" si="1"/>
        <v>280.96249999999998</v>
      </c>
      <c r="I10" s="7">
        <f t="shared" si="1"/>
        <v>289.60749999999996</v>
      </c>
      <c r="J10" s="7">
        <f t="shared" si="1"/>
        <v>298.2525</v>
      </c>
      <c r="K10" s="7">
        <f t="shared" si="1"/>
        <v>302.57499999999999</v>
      </c>
      <c r="L10" s="7">
        <f t="shared" si="1"/>
        <v>307.8</v>
      </c>
      <c r="M10" s="7">
        <f t="shared" si="1"/>
        <v>316.35000000000002</v>
      </c>
      <c r="N10" s="7">
        <f t="shared" si="1"/>
        <v>320.625</v>
      </c>
      <c r="O10" s="7">
        <f t="shared" si="1"/>
        <v>329.17500000000001</v>
      </c>
      <c r="P10" s="7">
        <f t="shared" si="1"/>
        <v>337.72500000000002</v>
      </c>
      <c r="Q10" s="7">
        <f t="shared" si="1"/>
        <v>339.71999999999997</v>
      </c>
      <c r="R10" s="7">
        <f t="shared" si="1"/>
        <v>347.43399999999997</v>
      </c>
      <c r="S10" s="7">
        <f t="shared" si="1"/>
        <v>350.88250000000005</v>
      </c>
      <c r="T10" s="7">
        <f t="shared" si="1"/>
        <v>354.31200000000001</v>
      </c>
      <c r="U10" t="s">
        <v>51</v>
      </c>
      <c r="V10" s="7">
        <f>SUM(E10:T10)</f>
        <v>4988.2409999999991</v>
      </c>
    </row>
    <row r="12" spans="1:23" x14ac:dyDescent="0.3">
      <c r="A12" t="s">
        <v>141</v>
      </c>
      <c r="D12" t="s">
        <v>100</v>
      </c>
      <c r="E12">
        <v>11.8</v>
      </c>
      <c r="F12">
        <v>11.9</v>
      </c>
      <c r="G12">
        <v>12</v>
      </c>
      <c r="H12">
        <v>12.1</v>
      </c>
      <c r="I12">
        <v>12.3</v>
      </c>
      <c r="J12">
        <v>12.45</v>
      </c>
      <c r="K12">
        <v>12.6</v>
      </c>
      <c r="L12">
        <v>12.7</v>
      </c>
      <c r="M12">
        <v>12.8</v>
      </c>
      <c r="N12">
        <v>12.9</v>
      </c>
      <c r="O12">
        <v>13</v>
      </c>
      <c r="P12">
        <v>13.1</v>
      </c>
      <c r="Q12">
        <v>13.2</v>
      </c>
      <c r="R12">
        <v>13.3</v>
      </c>
      <c r="S12">
        <v>13.45</v>
      </c>
      <c r="T12">
        <v>13.56</v>
      </c>
      <c r="U12" t="s">
        <v>64</v>
      </c>
      <c r="V12">
        <f>SUM(E12:T12)</f>
        <v>203.16</v>
      </c>
      <c r="W12">
        <f>V6+V12</f>
        <v>275.48</v>
      </c>
    </row>
    <row r="13" spans="1:23" x14ac:dyDescent="0.3">
      <c r="A13" t="s">
        <v>140</v>
      </c>
      <c r="D13" t="s">
        <v>57</v>
      </c>
      <c r="E13">
        <v>60</v>
      </c>
      <c r="F13">
        <v>63</v>
      </c>
      <c r="G13">
        <v>66</v>
      </c>
      <c r="H13">
        <v>69</v>
      </c>
      <c r="I13">
        <v>72</v>
      </c>
      <c r="J13">
        <v>75</v>
      </c>
      <c r="K13">
        <v>78</v>
      </c>
      <c r="L13">
        <v>81</v>
      </c>
      <c r="M13">
        <v>84</v>
      </c>
      <c r="N13">
        <v>87</v>
      </c>
      <c r="O13">
        <v>90</v>
      </c>
      <c r="P13">
        <v>93</v>
      </c>
      <c r="Q13">
        <v>96</v>
      </c>
      <c r="R13">
        <v>100</v>
      </c>
      <c r="S13">
        <v>105</v>
      </c>
      <c r="T13">
        <v>110</v>
      </c>
    </row>
    <row r="14" spans="1:23" x14ac:dyDescent="0.3">
      <c r="A14" t="s">
        <v>138</v>
      </c>
      <c r="D14" t="s">
        <v>45</v>
      </c>
      <c r="E14">
        <f t="shared" ref="E14:T14" si="2">E12*E13</f>
        <v>708</v>
      </c>
      <c r="F14" s="7">
        <f t="shared" si="2"/>
        <v>749.7</v>
      </c>
      <c r="G14">
        <f t="shared" si="2"/>
        <v>792</v>
      </c>
      <c r="H14" s="7">
        <f t="shared" si="2"/>
        <v>834.9</v>
      </c>
      <c r="I14" s="7">
        <f t="shared" si="2"/>
        <v>885.6</v>
      </c>
      <c r="J14" s="7">
        <f t="shared" si="2"/>
        <v>933.75</v>
      </c>
      <c r="K14" s="7">
        <f t="shared" si="2"/>
        <v>982.8</v>
      </c>
      <c r="L14" s="7">
        <f t="shared" si="2"/>
        <v>1028.7</v>
      </c>
      <c r="M14" s="7">
        <f t="shared" si="2"/>
        <v>1075.2</v>
      </c>
      <c r="N14" s="7">
        <f t="shared" si="2"/>
        <v>1122.3</v>
      </c>
      <c r="O14" s="7">
        <f t="shared" si="2"/>
        <v>1170</v>
      </c>
      <c r="P14" s="7">
        <f t="shared" si="2"/>
        <v>1218.3</v>
      </c>
      <c r="Q14" s="7">
        <f t="shared" si="2"/>
        <v>1267.1999999999998</v>
      </c>
      <c r="R14" s="7">
        <f t="shared" si="2"/>
        <v>1330</v>
      </c>
      <c r="S14" s="7">
        <f t="shared" si="2"/>
        <v>1412.25</v>
      </c>
      <c r="T14" s="7">
        <f t="shared" si="2"/>
        <v>1491.6000000000001</v>
      </c>
      <c r="U14" t="s">
        <v>51</v>
      </c>
      <c r="V14" s="7">
        <f>SUM(E14:T14)</f>
        <v>17002.299999999996</v>
      </c>
    </row>
    <row r="17" spans="1:23" x14ac:dyDescent="0.3">
      <c r="T17" t="s">
        <v>142</v>
      </c>
    </row>
    <row r="18" spans="1:23" x14ac:dyDescent="0.3">
      <c r="V18" s="7">
        <f>V10+V14</f>
        <v>21990.540999999994</v>
      </c>
    </row>
    <row r="19" spans="1:23" x14ac:dyDescent="0.3">
      <c r="A19" s="1" t="s">
        <v>111</v>
      </c>
    </row>
    <row r="20" spans="1:23" x14ac:dyDescent="0.3">
      <c r="A20" t="s">
        <v>134</v>
      </c>
      <c r="D20" t="s">
        <v>100</v>
      </c>
      <c r="E20">
        <v>4.5999999999999996</v>
      </c>
      <c r="F20">
        <v>4.5999999999999996</v>
      </c>
      <c r="G20">
        <v>4.55</v>
      </c>
      <c r="H20">
        <v>4.5</v>
      </c>
      <c r="I20">
        <v>4.45</v>
      </c>
      <c r="J20">
        <v>4.4000000000000004</v>
      </c>
      <c r="K20">
        <v>4.37</v>
      </c>
      <c r="L20">
        <v>4.34</v>
      </c>
      <c r="M20">
        <v>4.3</v>
      </c>
      <c r="N20">
        <v>4.25</v>
      </c>
      <c r="O20">
        <v>4.2</v>
      </c>
      <c r="P20">
        <v>4.16</v>
      </c>
      <c r="Q20">
        <v>4.13</v>
      </c>
      <c r="R20">
        <v>4.0999999999999996</v>
      </c>
      <c r="S20">
        <v>4.08</v>
      </c>
      <c r="T20">
        <v>4.0599999999999996</v>
      </c>
      <c r="U20" t="s">
        <v>51</v>
      </c>
      <c r="V20">
        <f>SUM(E20:S20)</f>
        <v>65.03</v>
      </c>
    </row>
    <row r="21" spans="1:23" x14ac:dyDescent="0.3">
      <c r="A21" t="s">
        <v>135</v>
      </c>
      <c r="D21" t="s">
        <v>57</v>
      </c>
      <c r="E21">
        <v>60</v>
      </c>
      <c r="F21">
        <v>62</v>
      </c>
      <c r="G21">
        <v>64</v>
      </c>
      <c r="H21">
        <v>66</v>
      </c>
      <c r="I21">
        <v>68</v>
      </c>
      <c r="J21">
        <v>70</v>
      </c>
      <c r="K21">
        <v>72</v>
      </c>
      <c r="L21">
        <v>74</v>
      </c>
      <c r="M21">
        <v>76</v>
      </c>
      <c r="N21">
        <v>78</v>
      </c>
      <c r="O21">
        <v>80</v>
      </c>
      <c r="P21">
        <v>82</v>
      </c>
      <c r="Q21">
        <v>83</v>
      </c>
      <c r="R21">
        <v>84</v>
      </c>
      <c r="S21">
        <v>85</v>
      </c>
      <c r="T21">
        <v>86</v>
      </c>
    </row>
    <row r="22" spans="1:23" x14ac:dyDescent="0.3">
      <c r="A22" t="s">
        <v>136</v>
      </c>
      <c r="D22" t="s">
        <v>45</v>
      </c>
      <c r="E22">
        <f t="shared" ref="E22:T22" si="3">E20*E21</f>
        <v>276</v>
      </c>
      <c r="F22" s="7">
        <f t="shared" si="3"/>
        <v>285.2</v>
      </c>
      <c r="G22" s="7">
        <f t="shared" si="3"/>
        <v>291.2</v>
      </c>
      <c r="H22">
        <f t="shared" si="3"/>
        <v>297</v>
      </c>
      <c r="I22" s="7">
        <f t="shared" si="3"/>
        <v>302.60000000000002</v>
      </c>
      <c r="J22" s="7">
        <f t="shared" si="3"/>
        <v>308</v>
      </c>
      <c r="K22" s="7">
        <f t="shared" si="3"/>
        <v>314.64</v>
      </c>
      <c r="L22" s="7">
        <f t="shared" si="3"/>
        <v>321.15999999999997</v>
      </c>
      <c r="M22" s="7">
        <f t="shared" si="3"/>
        <v>326.8</v>
      </c>
      <c r="N22" s="7">
        <f t="shared" si="3"/>
        <v>331.5</v>
      </c>
      <c r="O22" s="7">
        <f t="shared" si="3"/>
        <v>336</v>
      </c>
      <c r="P22" s="7">
        <f t="shared" si="3"/>
        <v>341.12</v>
      </c>
      <c r="Q22" s="7">
        <f t="shared" si="3"/>
        <v>342.78999999999996</v>
      </c>
      <c r="R22" s="7">
        <f t="shared" si="3"/>
        <v>344.4</v>
      </c>
      <c r="S22" s="7">
        <f t="shared" si="3"/>
        <v>346.8</v>
      </c>
      <c r="T22" s="7">
        <f t="shared" si="3"/>
        <v>349.15999999999997</v>
      </c>
    </row>
    <row r="23" spans="1:23" x14ac:dyDescent="0.3">
      <c r="A23" t="s">
        <v>137</v>
      </c>
      <c r="C23" s="29">
        <v>0.05</v>
      </c>
      <c r="D23" t="s">
        <v>45</v>
      </c>
      <c r="E23" s="7">
        <f>E22*C23</f>
        <v>13.8</v>
      </c>
      <c r="F23" s="7">
        <f>F22:T22*C23</f>
        <v>14.26</v>
      </c>
      <c r="G23" s="7">
        <f>G22*C23</f>
        <v>14.56</v>
      </c>
      <c r="H23" s="7">
        <f>H22*C23</f>
        <v>14.850000000000001</v>
      </c>
      <c r="I23" s="7">
        <f>I22*C23</f>
        <v>15.130000000000003</v>
      </c>
      <c r="J23" s="7">
        <f>J22*C23</f>
        <v>15.4</v>
      </c>
      <c r="K23" s="7">
        <f>K22*C23</f>
        <v>15.731999999999999</v>
      </c>
      <c r="L23" s="7">
        <f>L22*C23</f>
        <v>16.058</v>
      </c>
      <c r="M23" s="7">
        <f>M22*C23</f>
        <v>16.34</v>
      </c>
      <c r="N23" s="7">
        <f>N22*C23</f>
        <v>16.574999999999999</v>
      </c>
      <c r="O23" s="7">
        <f>O22*C23</f>
        <v>16.8</v>
      </c>
      <c r="P23" s="7">
        <f>P22*C23</f>
        <v>17.056000000000001</v>
      </c>
      <c r="Q23" s="7">
        <f>Q22*C23</f>
        <v>17.139499999999998</v>
      </c>
      <c r="R23" s="7">
        <f>R22*C23</f>
        <v>17.22</v>
      </c>
      <c r="S23" s="7">
        <f>S22*C23</f>
        <v>17.34</v>
      </c>
      <c r="T23" s="7">
        <f>T22*C23</f>
        <v>17.457999999999998</v>
      </c>
    </row>
    <row r="24" spans="1:23" x14ac:dyDescent="0.3">
      <c r="A24" t="s">
        <v>138</v>
      </c>
      <c r="D24" t="s">
        <v>45</v>
      </c>
      <c r="E24" s="7">
        <f t="shared" ref="E24:T24" si="4">E22-E23</f>
        <v>262.2</v>
      </c>
      <c r="F24" s="7">
        <f t="shared" si="4"/>
        <v>270.94</v>
      </c>
      <c r="G24" s="7">
        <f t="shared" si="4"/>
        <v>276.64</v>
      </c>
      <c r="H24" s="7">
        <f t="shared" si="4"/>
        <v>282.14999999999998</v>
      </c>
      <c r="I24" s="7">
        <f t="shared" si="4"/>
        <v>287.47000000000003</v>
      </c>
      <c r="J24" s="7">
        <f t="shared" si="4"/>
        <v>292.60000000000002</v>
      </c>
      <c r="K24" s="7">
        <f t="shared" si="4"/>
        <v>298.90800000000002</v>
      </c>
      <c r="L24" s="7">
        <f t="shared" si="4"/>
        <v>305.10199999999998</v>
      </c>
      <c r="M24" s="7">
        <f t="shared" si="4"/>
        <v>310.46000000000004</v>
      </c>
      <c r="N24" s="7">
        <f t="shared" si="4"/>
        <v>314.92500000000001</v>
      </c>
      <c r="O24" s="7">
        <f t="shared" si="4"/>
        <v>319.2</v>
      </c>
      <c r="P24" s="7">
        <f t="shared" si="4"/>
        <v>324.06400000000002</v>
      </c>
      <c r="Q24" s="7">
        <f t="shared" si="4"/>
        <v>325.65049999999997</v>
      </c>
      <c r="R24" s="7">
        <f t="shared" si="4"/>
        <v>327.17999999999995</v>
      </c>
      <c r="S24" s="7">
        <f t="shared" si="4"/>
        <v>329.46000000000004</v>
      </c>
      <c r="T24" s="7">
        <f t="shared" si="4"/>
        <v>331.702</v>
      </c>
      <c r="U24" t="s">
        <v>51</v>
      </c>
      <c r="V24" s="7">
        <f>SUM(E24:T24)</f>
        <v>4858.6514999999999</v>
      </c>
    </row>
    <row r="26" spans="1:23" x14ac:dyDescent="0.3">
      <c r="A26" t="s">
        <v>141</v>
      </c>
      <c r="D26" t="s">
        <v>100</v>
      </c>
      <c r="E26">
        <v>11.8</v>
      </c>
      <c r="F26">
        <v>11.8</v>
      </c>
      <c r="G26">
        <v>11.8</v>
      </c>
      <c r="H26">
        <v>11.8</v>
      </c>
      <c r="I26">
        <v>11.85</v>
      </c>
      <c r="J26">
        <v>11.85</v>
      </c>
      <c r="K26">
        <v>11.85</v>
      </c>
      <c r="L26">
        <v>11.9</v>
      </c>
      <c r="M26">
        <v>11.9</v>
      </c>
      <c r="N26">
        <v>11.9</v>
      </c>
      <c r="O26">
        <v>11.9</v>
      </c>
      <c r="P26">
        <v>11.88</v>
      </c>
      <c r="Q26">
        <v>11.87</v>
      </c>
      <c r="R26">
        <v>11.86</v>
      </c>
      <c r="S26">
        <v>11.85</v>
      </c>
      <c r="T26">
        <v>11.84</v>
      </c>
      <c r="U26" t="s">
        <v>64</v>
      </c>
      <c r="V26">
        <f>SUM(E26:T26)</f>
        <v>189.65000000000003</v>
      </c>
      <c r="W26">
        <f>V20+V26</f>
        <v>254.68000000000004</v>
      </c>
    </row>
    <row r="27" spans="1:23" x14ac:dyDescent="0.3">
      <c r="A27" t="s">
        <v>140</v>
      </c>
      <c r="D27" t="s">
        <v>57</v>
      </c>
      <c r="E27">
        <v>60</v>
      </c>
      <c r="F27">
        <v>63</v>
      </c>
      <c r="G27">
        <v>66</v>
      </c>
      <c r="H27">
        <v>69</v>
      </c>
      <c r="I27">
        <v>72</v>
      </c>
      <c r="J27">
        <v>75</v>
      </c>
      <c r="K27">
        <v>78</v>
      </c>
      <c r="L27">
        <v>81</v>
      </c>
      <c r="M27">
        <v>84</v>
      </c>
      <c r="N27">
        <v>87</v>
      </c>
      <c r="O27">
        <v>90</v>
      </c>
      <c r="P27">
        <v>93</v>
      </c>
      <c r="Q27">
        <v>96</v>
      </c>
      <c r="R27">
        <v>100</v>
      </c>
      <c r="S27">
        <v>105</v>
      </c>
      <c r="T27">
        <v>110</v>
      </c>
    </row>
    <row r="28" spans="1:23" x14ac:dyDescent="0.3">
      <c r="A28" t="s">
        <v>138</v>
      </c>
      <c r="D28" t="s">
        <v>45</v>
      </c>
      <c r="E28">
        <f t="shared" ref="E28:T28" si="5">E26*E27</f>
        <v>708</v>
      </c>
      <c r="F28" s="7">
        <f t="shared" si="5"/>
        <v>743.40000000000009</v>
      </c>
      <c r="G28" s="7">
        <f t="shared" si="5"/>
        <v>778.80000000000007</v>
      </c>
      <c r="H28" s="7">
        <f t="shared" si="5"/>
        <v>814.2</v>
      </c>
      <c r="I28" s="7">
        <f t="shared" si="5"/>
        <v>853.19999999999993</v>
      </c>
      <c r="J28" s="7">
        <f t="shared" si="5"/>
        <v>888.75</v>
      </c>
      <c r="K28" s="7">
        <f t="shared" si="5"/>
        <v>924.3</v>
      </c>
      <c r="L28" s="7">
        <f t="shared" si="5"/>
        <v>963.9</v>
      </c>
      <c r="M28" s="7">
        <f t="shared" si="5"/>
        <v>999.6</v>
      </c>
      <c r="N28" s="7">
        <f t="shared" si="5"/>
        <v>1035.3</v>
      </c>
      <c r="O28" s="7">
        <f t="shared" si="5"/>
        <v>1071</v>
      </c>
      <c r="P28" s="7">
        <f t="shared" si="5"/>
        <v>1104.8400000000001</v>
      </c>
      <c r="Q28" s="7">
        <f t="shared" si="5"/>
        <v>1139.52</v>
      </c>
      <c r="R28" s="7">
        <f t="shared" si="5"/>
        <v>1186</v>
      </c>
      <c r="S28" s="7">
        <f t="shared" si="5"/>
        <v>1244.25</v>
      </c>
      <c r="T28" s="7">
        <f t="shared" si="5"/>
        <v>1302.4000000000001</v>
      </c>
      <c r="U28" t="s">
        <v>51</v>
      </c>
      <c r="V28" s="7">
        <f>SUM(E28:T28)</f>
        <v>15757.460000000001</v>
      </c>
    </row>
    <row r="29" spans="1:23" x14ac:dyDescent="0.3">
      <c r="S29" t="s">
        <v>142</v>
      </c>
      <c r="V29" s="7">
        <f>V24+V28</f>
        <v>20616.111499999999</v>
      </c>
    </row>
    <row r="31" spans="1:23" x14ac:dyDescent="0.3">
      <c r="A31" s="1" t="s">
        <v>112</v>
      </c>
    </row>
    <row r="32" spans="1:23" x14ac:dyDescent="0.3">
      <c r="A32" t="s">
        <v>134</v>
      </c>
      <c r="D32" t="s">
        <v>100</v>
      </c>
      <c r="E32">
        <v>4.5999999999999996</v>
      </c>
      <c r="F32">
        <v>4.55</v>
      </c>
      <c r="G32">
        <v>4.5</v>
      </c>
      <c r="H32">
        <v>4.4000000000000004</v>
      </c>
      <c r="I32">
        <v>4.3</v>
      </c>
      <c r="J32">
        <v>4.2</v>
      </c>
      <c r="K32">
        <v>4.0999999999999996</v>
      </c>
      <c r="L32">
        <v>4.05</v>
      </c>
      <c r="M32">
        <v>4</v>
      </c>
      <c r="N32">
        <v>3.9</v>
      </c>
      <c r="O32">
        <v>3.8</v>
      </c>
      <c r="P32">
        <v>3.75</v>
      </c>
      <c r="Q32">
        <v>3.7</v>
      </c>
      <c r="R32">
        <v>3.65</v>
      </c>
      <c r="S32">
        <v>3.6</v>
      </c>
      <c r="T32">
        <v>3.54</v>
      </c>
      <c r="U32" t="s">
        <v>64</v>
      </c>
      <c r="V32">
        <f>SUM(E32:T32)</f>
        <v>64.64</v>
      </c>
    </row>
    <row r="33" spans="1:23" x14ac:dyDescent="0.3">
      <c r="A33" t="s">
        <v>135</v>
      </c>
      <c r="D33" t="s">
        <v>57</v>
      </c>
      <c r="E33">
        <v>60</v>
      </c>
      <c r="F33">
        <v>63</v>
      </c>
      <c r="G33">
        <v>66</v>
      </c>
      <c r="H33">
        <v>68</v>
      </c>
      <c r="I33">
        <v>70</v>
      </c>
      <c r="J33">
        <v>72</v>
      </c>
      <c r="K33">
        <v>74</v>
      </c>
      <c r="L33">
        <v>76</v>
      </c>
      <c r="M33">
        <v>78</v>
      </c>
      <c r="N33">
        <v>80</v>
      </c>
      <c r="O33">
        <v>82</v>
      </c>
      <c r="P33">
        <v>84</v>
      </c>
      <c r="Q33">
        <v>86</v>
      </c>
      <c r="R33">
        <v>88</v>
      </c>
      <c r="S33">
        <v>89</v>
      </c>
      <c r="T33">
        <v>90</v>
      </c>
    </row>
    <row r="34" spans="1:23" x14ac:dyDescent="0.3">
      <c r="A34" t="s">
        <v>136</v>
      </c>
      <c r="D34" t="s">
        <v>45</v>
      </c>
      <c r="E34">
        <f t="shared" ref="E34:Q34" si="6">E32*E33</f>
        <v>276</v>
      </c>
      <c r="F34" s="7">
        <f t="shared" si="6"/>
        <v>286.64999999999998</v>
      </c>
      <c r="G34" s="7">
        <f t="shared" si="6"/>
        <v>297</v>
      </c>
      <c r="H34" s="7">
        <f t="shared" si="6"/>
        <v>299.20000000000005</v>
      </c>
      <c r="I34" s="7">
        <f t="shared" si="6"/>
        <v>301</v>
      </c>
      <c r="J34" s="7">
        <f t="shared" si="6"/>
        <v>302.40000000000003</v>
      </c>
      <c r="K34" s="7">
        <f t="shared" si="6"/>
        <v>303.39999999999998</v>
      </c>
      <c r="L34" s="7">
        <f t="shared" si="6"/>
        <v>307.8</v>
      </c>
      <c r="M34" s="7">
        <f t="shared" si="6"/>
        <v>312</v>
      </c>
      <c r="N34" s="7">
        <f t="shared" si="6"/>
        <v>312</v>
      </c>
      <c r="O34" s="7">
        <f t="shared" si="6"/>
        <v>311.59999999999997</v>
      </c>
      <c r="P34" s="7">
        <f t="shared" si="6"/>
        <v>315</v>
      </c>
      <c r="Q34" s="7">
        <f t="shared" si="6"/>
        <v>318.2</v>
      </c>
      <c r="R34" s="7">
        <f>R33*R32</f>
        <v>321.2</v>
      </c>
      <c r="S34" s="7">
        <f>S32*S33</f>
        <v>320.40000000000003</v>
      </c>
      <c r="T34" s="7">
        <f>T32*T33</f>
        <v>318.60000000000002</v>
      </c>
    </row>
    <row r="35" spans="1:23" x14ac:dyDescent="0.3">
      <c r="A35" t="s">
        <v>137</v>
      </c>
      <c r="C35" s="29">
        <v>0.05</v>
      </c>
      <c r="D35" t="s">
        <v>45</v>
      </c>
      <c r="E35" s="7">
        <f>E34*C35</f>
        <v>13.8</v>
      </c>
      <c r="F35" s="7">
        <f>F34*C35</f>
        <v>14.3325</v>
      </c>
      <c r="G35" s="7">
        <f>G34*C35</f>
        <v>14.850000000000001</v>
      </c>
      <c r="H35" s="7">
        <f>H34*C35</f>
        <v>14.960000000000003</v>
      </c>
      <c r="I35" s="7">
        <f>I34*C35</f>
        <v>15.05</v>
      </c>
      <c r="J35" s="7">
        <f>J34*C35</f>
        <v>15.120000000000003</v>
      </c>
      <c r="K35" s="7">
        <f>K34*C35</f>
        <v>15.17</v>
      </c>
      <c r="L35" s="7">
        <f>L34*C35</f>
        <v>15.39</v>
      </c>
      <c r="M35" s="7">
        <f>M34*C35</f>
        <v>15.600000000000001</v>
      </c>
      <c r="N35" s="7">
        <f>N34*C35</f>
        <v>15.600000000000001</v>
      </c>
      <c r="O35" s="7">
        <f>O34*C35</f>
        <v>15.579999999999998</v>
      </c>
      <c r="P35" s="7">
        <f>P34*C35</f>
        <v>15.75</v>
      </c>
      <c r="Q35" s="7">
        <f>Q34*C35</f>
        <v>15.91</v>
      </c>
      <c r="R35" s="7">
        <f>R34*C35</f>
        <v>16.059999999999999</v>
      </c>
      <c r="S35" s="7">
        <f>S34*C35</f>
        <v>16.020000000000003</v>
      </c>
      <c r="T35" s="7">
        <f>T34*C35</f>
        <v>15.930000000000001</v>
      </c>
    </row>
    <row r="36" spans="1:23" x14ac:dyDescent="0.3">
      <c r="A36" t="s">
        <v>138</v>
      </c>
      <c r="D36" t="s">
        <v>45</v>
      </c>
      <c r="E36" s="7">
        <f t="shared" ref="E36:T36" si="7">E34-E35</f>
        <v>262.2</v>
      </c>
      <c r="F36" s="7">
        <f t="shared" si="7"/>
        <v>272.3175</v>
      </c>
      <c r="G36" s="7">
        <f t="shared" si="7"/>
        <v>282.14999999999998</v>
      </c>
      <c r="H36" s="7">
        <f t="shared" si="7"/>
        <v>284.24000000000007</v>
      </c>
      <c r="I36" s="7">
        <f t="shared" si="7"/>
        <v>285.95</v>
      </c>
      <c r="J36" s="7">
        <f t="shared" si="7"/>
        <v>287.28000000000003</v>
      </c>
      <c r="K36" s="7">
        <f t="shared" si="7"/>
        <v>288.22999999999996</v>
      </c>
      <c r="L36" s="7">
        <f t="shared" si="7"/>
        <v>292.41000000000003</v>
      </c>
      <c r="M36" s="7">
        <f t="shared" si="7"/>
        <v>296.39999999999998</v>
      </c>
      <c r="N36" s="7">
        <f t="shared" si="7"/>
        <v>296.39999999999998</v>
      </c>
      <c r="O36" s="7">
        <f t="shared" si="7"/>
        <v>296.02</v>
      </c>
      <c r="P36" s="7">
        <f t="shared" si="7"/>
        <v>299.25</v>
      </c>
      <c r="Q36" s="7">
        <f t="shared" si="7"/>
        <v>302.28999999999996</v>
      </c>
      <c r="R36" s="7">
        <f t="shared" si="7"/>
        <v>305.14</v>
      </c>
      <c r="S36" s="7">
        <f t="shared" si="7"/>
        <v>304.38000000000005</v>
      </c>
      <c r="T36" s="7">
        <f t="shared" si="7"/>
        <v>302.67</v>
      </c>
      <c r="U36" t="s">
        <v>64</v>
      </c>
      <c r="V36" s="7">
        <f>SUM(E36:T36)</f>
        <v>4657.3275000000003</v>
      </c>
    </row>
    <row r="37" spans="1:23" x14ac:dyDescent="0.3">
      <c r="S37">
        <v>11.1</v>
      </c>
    </row>
    <row r="38" spans="1:23" x14ac:dyDescent="0.3">
      <c r="A38" t="s">
        <v>141</v>
      </c>
      <c r="D38" t="s">
        <v>100</v>
      </c>
      <c r="E38">
        <v>11.8</v>
      </c>
      <c r="F38">
        <v>11.8</v>
      </c>
      <c r="G38">
        <v>11.75</v>
      </c>
      <c r="H38">
        <v>11.7</v>
      </c>
      <c r="I38">
        <v>11.65</v>
      </c>
      <c r="J38">
        <v>11.6</v>
      </c>
      <c r="K38">
        <v>11.58</v>
      </c>
      <c r="L38">
        <v>11.55</v>
      </c>
      <c r="M38">
        <v>11.5</v>
      </c>
      <c r="N38">
        <v>11.45</v>
      </c>
      <c r="O38">
        <v>11.4</v>
      </c>
      <c r="P38">
        <v>11.3</v>
      </c>
      <c r="Q38">
        <v>11.2</v>
      </c>
      <c r="R38">
        <v>11.17</v>
      </c>
      <c r="S38" s="28"/>
      <c r="T38">
        <v>11.06</v>
      </c>
      <c r="U38" t="s">
        <v>64</v>
      </c>
      <c r="V38">
        <f>SUM(E37:T38)</f>
        <v>183.60999999999999</v>
      </c>
      <c r="W38">
        <f>V32+V38</f>
        <v>248.25</v>
      </c>
    </row>
    <row r="39" spans="1:23" x14ac:dyDescent="0.3">
      <c r="A39" t="s">
        <v>140</v>
      </c>
      <c r="D39" t="s">
        <v>57</v>
      </c>
      <c r="E39">
        <v>60</v>
      </c>
      <c r="F39">
        <v>63</v>
      </c>
      <c r="G39">
        <v>66</v>
      </c>
      <c r="H39">
        <v>69</v>
      </c>
      <c r="I39">
        <v>72</v>
      </c>
      <c r="J39">
        <v>75</v>
      </c>
      <c r="K39">
        <v>78</v>
      </c>
      <c r="L39">
        <v>81</v>
      </c>
      <c r="M39">
        <v>84</v>
      </c>
      <c r="N39">
        <v>87</v>
      </c>
      <c r="O39">
        <v>90</v>
      </c>
      <c r="P39">
        <v>93</v>
      </c>
      <c r="Q39">
        <v>96</v>
      </c>
      <c r="R39">
        <v>100</v>
      </c>
      <c r="S39">
        <v>105</v>
      </c>
      <c r="T39">
        <v>110</v>
      </c>
    </row>
    <row r="40" spans="1:23" x14ac:dyDescent="0.3">
      <c r="A40" t="s">
        <v>138</v>
      </c>
      <c r="D40" t="s">
        <v>45</v>
      </c>
      <c r="E40">
        <f t="shared" ref="E40:R40" si="8">E38*E39</f>
        <v>708</v>
      </c>
      <c r="F40" s="7">
        <f t="shared" si="8"/>
        <v>743.40000000000009</v>
      </c>
      <c r="G40" s="7">
        <f t="shared" si="8"/>
        <v>775.5</v>
      </c>
      <c r="H40" s="7">
        <f t="shared" si="8"/>
        <v>807.3</v>
      </c>
      <c r="I40" s="7">
        <f t="shared" si="8"/>
        <v>838.80000000000007</v>
      </c>
      <c r="J40" s="7">
        <f t="shared" si="8"/>
        <v>870</v>
      </c>
      <c r="K40" s="7">
        <f t="shared" si="8"/>
        <v>903.24</v>
      </c>
      <c r="L40" s="7">
        <f t="shared" si="8"/>
        <v>935.55000000000007</v>
      </c>
      <c r="M40" s="7">
        <f t="shared" si="8"/>
        <v>966</v>
      </c>
      <c r="N40" s="7">
        <f t="shared" si="8"/>
        <v>996.15</v>
      </c>
      <c r="O40" s="7">
        <f t="shared" si="8"/>
        <v>1026</v>
      </c>
      <c r="P40" s="7">
        <f t="shared" si="8"/>
        <v>1050.9000000000001</v>
      </c>
      <c r="Q40" s="7">
        <f t="shared" si="8"/>
        <v>1075.1999999999998</v>
      </c>
      <c r="R40" s="7">
        <f t="shared" si="8"/>
        <v>1117</v>
      </c>
      <c r="S40" s="7"/>
      <c r="T40" s="7">
        <f>T38*T39</f>
        <v>1216.6000000000001</v>
      </c>
      <c r="U40" t="s">
        <v>51</v>
      </c>
      <c r="V40" s="7">
        <f>SUM(E40:T41)</f>
        <v>15195.140000000001</v>
      </c>
    </row>
    <row r="41" spans="1:23" x14ac:dyDescent="0.3">
      <c r="S41" s="7">
        <v>1165.5</v>
      </c>
    </row>
    <row r="42" spans="1:23" x14ac:dyDescent="0.3">
      <c r="S42" t="s">
        <v>142</v>
      </c>
      <c r="V42" s="7">
        <f>V36+V40</f>
        <v>19852.467500000002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H21" sqref="H21"/>
    </sheetView>
  </sheetViews>
  <sheetFormatPr defaultRowHeight="14.4" x14ac:dyDescent="0.3"/>
  <cols>
    <col min="5" max="20" width="10.44140625" bestFit="1" customWidth="1"/>
  </cols>
  <sheetData>
    <row r="1" spans="1:20" x14ac:dyDescent="0.3">
      <c r="A1" s="2" t="s">
        <v>157</v>
      </c>
      <c r="B1" s="2"/>
      <c r="C1" s="2"/>
    </row>
    <row r="2" spans="1:20" x14ac:dyDescent="0.3"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  <c r="L2">
        <v>2022</v>
      </c>
      <c r="M2">
        <v>2023</v>
      </c>
      <c r="N2">
        <v>2024</v>
      </c>
      <c r="O2">
        <v>2025</v>
      </c>
      <c r="P2">
        <v>2026</v>
      </c>
      <c r="Q2">
        <v>2027</v>
      </c>
      <c r="R2">
        <v>2028</v>
      </c>
      <c r="S2">
        <v>2029</v>
      </c>
      <c r="T2">
        <v>2030</v>
      </c>
    </row>
    <row r="3" spans="1:20" x14ac:dyDescent="0.3">
      <c r="A3" s="2" t="s">
        <v>37</v>
      </c>
    </row>
    <row r="4" spans="1:20" x14ac:dyDescent="0.3">
      <c r="A4" t="s">
        <v>151</v>
      </c>
      <c r="D4">
        <v>0.25</v>
      </c>
      <c r="E4" s="6">
        <f>D4*'Inv.sääst.EUR 2030'!F9</f>
        <v>13.731249999999999</v>
      </c>
      <c r="F4" s="6">
        <v>13.731249999999999</v>
      </c>
      <c r="G4" s="6">
        <v>13.731249999999999</v>
      </c>
      <c r="H4" s="6">
        <v>13.731249999999999</v>
      </c>
      <c r="I4" s="6">
        <v>13.731249999999999</v>
      </c>
      <c r="J4" s="6">
        <v>13.731249999999999</v>
      </c>
      <c r="K4" s="6">
        <v>13.731249999999999</v>
      </c>
      <c r="L4" s="6">
        <v>13.731249999999999</v>
      </c>
      <c r="M4" s="6">
        <v>13.731249999999999</v>
      </c>
      <c r="N4" s="6">
        <v>13.731249999999999</v>
      </c>
      <c r="O4" s="6">
        <v>13.731249999999999</v>
      </c>
      <c r="P4" s="6">
        <v>13.731249999999999</v>
      </c>
      <c r="Q4" s="6">
        <v>13.731249999999999</v>
      </c>
      <c r="R4" s="6">
        <v>13.731249999999999</v>
      </c>
      <c r="S4" s="6">
        <v>13.73</v>
      </c>
      <c r="T4" s="6">
        <v>13.731249999999999</v>
      </c>
    </row>
    <row r="5" spans="1:20" x14ac:dyDescent="0.3">
      <c r="A5" t="s">
        <v>143</v>
      </c>
      <c r="E5" s="7">
        <v>400</v>
      </c>
      <c r="F5" s="7">
        <v>410</v>
      </c>
      <c r="G5" s="7">
        <v>420</v>
      </c>
      <c r="H5" s="7">
        <v>430</v>
      </c>
      <c r="I5" s="7">
        <v>440</v>
      </c>
      <c r="J5" s="7">
        <v>454</v>
      </c>
      <c r="K5" s="7">
        <v>505</v>
      </c>
      <c r="L5" s="7">
        <v>556</v>
      </c>
      <c r="M5" s="7">
        <v>607</v>
      </c>
      <c r="N5" s="7">
        <v>658</v>
      </c>
      <c r="O5" s="7">
        <v>711</v>
      </c>
      <c r="P5" s="7">
        <v>783</v>
      </c>
      <c r="Q5" s="7">
        <v>855</v>
      </c>
      <c r="R5" s="7">
        <v>927</v>
      </c>
      <c r="S5" s="7">
        <v>995</v>
      </c>
      <c r="T5" s="7">
        <v>1042</v>
      </c>
    </row>
    <row r="6" spans="1:20" x14ac:dyDescent="0.3">
      <c r="A6" t="s">
        <v>148</v>
      </c>
      <c r="E6" s="6">
        <f>E7+E8+E9</f>
        <v>570</v>
      </c>
      <c r="F6">
        <f t="shared" ref="F6:T6" si="0">SUM(F7:F9)</f>
        <v>581.40000000000009</v>
      </c>
      <c r="G6" s="6">
        <f t="shared" si="0"/>
        <v>593.02800000000002</v>
      </c>
      <c r="H6" s="6">
        <f t="shared" si="0"/>
        <v>604.8885600000001</v>
      </c>
      <c r="I6" s="6">
        <f t="shared" si="0"/>
        <v>616.9863312</v>
      </c>
      <c r="J6" s="6">
        <f t="shared" si="0"/>
        <v>629.32605782399992</v>
      </c>
      <c r="K6" s="6">
        <f t="shared" si="0"/>
        <v>641.91257898048002</v>
      </c>
      <c r="L6" s="6">
        <f t="shared" si="0"/>
        <v>654.75083056008964</v>
      </c>
      <c r="M6" s="6">
        <f t="shared" si="0"/>
        <v>667.84584717129144</v>
      </c>
      <c r="N6" s="6">
        <f t="shared" si="0"/>
        <v>681.20276411471741</v>
      </c>
      <c r="O6" s="6">
        <f t="shared" si="0"/>
        <v>694.82681939701172</v>
      </c>
      <c r="P6" s="6">
        <f t="shared" si="0"/>
        <v>708.72335578495199</v>
      </c>
      <c r="Q6" s="6">
        <f t="shared" si="0"/>
        <v>684.85056906377463</v>
      </c>
      <c r="R6" s="6">
        <f t="shared" si="0"/>
        <v>737.35577935866411</v>
      </c>
      <c r="S6" s="6">
        <f t="shared" si="0"/>
        <v>752.10289494583753</v>
      </c>
      <c r="T6" s="6">
        <f t="shared" si="0"/>
        <v>767.14495284475424</v>
      </c>
    </row>
    <row r="7" spans="1:20" x14ac:dyDescent="0.3">
      <c r="A7" t="s">
        <v>41</v>
      </c>
      <c r="E7" s="6">
        <f t="shared" ref="E7:P7" si="1">E10*0.33</f>
        <v>330</v>
      </c>
      <c r="F7">
        <f t="shared" si="1"/>
        <v>336.6</v>
      </c>
      <c r="G7" s="6">
        <f t="shared" si="1"/>
        <v>343.33200000000005</v>
      </c>
      <c r="H7" s="6">
        <f t="shared" si="1"/>
        <v>350.19864000000007</v>
      </c>
      <c r="I7" s="6">
        <f t="shared" si="1"/>
        <v>357.20261280000005</v>
      </c>
      <c r="J7" s="6">
        <f t="shared" si="1"/>
        <v>364.34666505600001</v>
      </c>
      <c r="K7" s="6">
        <f t="shared" si="1"/>
        <v>371.63359835711998</v>
      </c>
      <c r="L7" s="6">
        <f t="shared" si="1"/>
        <v>379.06627032426246</v>
      </c>
      <c r="M7" s="6">
        <f t="shared" si="1"/>
        <v>386.6475957307477</v>
      </c>
      <c r="N7" s="6">
        <f t="shared" si="1"/>
        <v>394.3805476453627</v>
      </c>
      <c r="O7" s="6">
        <f t="shared" si="1"/>
        <v>402.26815859826996</v>
      </c>
      <c r="P7" s="6">
        <f t="shared" si="1"/>
        <v>410.31352177023541</v>
      </c>
      <c r="Q7" s="6">
        <f>Q10*0.3</f>
        <v>380.47253836876371</v>
      </c>
      <c r="R7" s="6">
        <f>R10*0.33</f>
        <v>426.89018804975291</v>
      </c>
      <c r="S7" s="6">
        <f>S10*0.33</f>
        <v>435.42799181074804</v>
      </c>
      <c r="T7" s="6">
        <f>T10*0.33</f>
        <v>444.13655164696303</v>
      </c>
    </row>
    <row r="8" spans="1:20" x14ac:dyDescent="0.3">
      <c r="A8" t="s">
        <v>144</v>
      </c>
      <c r="E8" s="6">
        <f t="shared" ref="E8:T8" si="2">E10*0.03</f>
        <v>30</v>
      </c>
      <c r="F8">
        <f t="shared" si="2"/>
        <v>30.599999999999998</v>
      </c>
      <c r="G8" s="6">
        <f t="shared" si="2"/>
        <v>31.212000000000003</v>
      </c>
      <c r="H8" s="6">
        <f t="shared" si="2"/>
        <v>31.83624</v>
      </c>
      <c r="I8" s="6">
        <f t="shared" si="2"/>
        <v>32.4729648</v>
      </c>
      <c r="J8" s="6">
        <f t="shared" si="2"/>
        <v>33.122424095999996</v>
      </c>
      <c r="K8" s="6">
        <f t="shared" si="2"/>
        <v>33.784872577919998</v>
      </c>
      <c r="L8" s="6">
        <f t="shared" si="2"/>
        <v>34.460570029478397</v>
      </c>
      <c r="M8" s="6">
        <f t="shared" si="2"/>
        <v>35.149781430067968</v>
      </c>
      <c r="N8" s="6">
        <f t="shared" si="2"/>
        <v>35.852777058669332</v>
      </c>
      <c r="O8" s="6">
        <f t="shared" si="2"/>
        <v>36.569832599842719</v>
      </c>
      <c r="P8" s="6">
        <f t="shared" si="2"/>
        <v>37.30122925183958</v>
      </c>
      <c r="Q8" s="6">
        <f t="shared" si="2"/>
        <v>38.047253836876372</v>
      </c>
      <c r="R8" s="6">
        <f t="shared" si="2"/>
        <v>38.8081989136139</v>
      </c>
      <c r="S8" s="6">
        <f t="shared" si="2"/>
        <v>39.58436289188618</v>
      </c>
      <c r="T8" s="6">
        <f t="shared" si="2"/>
        <v>40.376050149723909</v>
      </c>
    </row>
    <row r="9" spans="1:20" x14ac:dyDescent="0.3">
      <c r="A9" t="s">
        <v>145</v>
      </c>
      <c r="E9" s="6">
        <f t="shared" ref="E9:T9" si="3">E10*0.21</f>
        <v>210</v>
      </c>
      <c r="F9">
        <f t="shared" si="3"/>
        <v>214.2</v>
      </c>
      <c r="G9" s="6">
        <f t="shared" si="3"/>
        <v>218.48400000000001</v>
      </c>
      <c r="H9" s="6">
        <f t="shared" si="3"/>
        <v>222.85368</v>
      </c>
      <c r="I9" s="6">
        <f t="shared" si="3"/>
        <v>227.3107536</v>
      </c>
      <c r="J9" s="6">
        <f t="shared" si="3"/>
        <v>231.85696867199999</v>
      </c>
      <c r="K9" s="6">
        <f t="shared" si="3"/>
        <v>236.49410804543999</v>
      </c>
      <c r="L9" s="6">
        <f t="shared" si="3"/>
        <v>241.22399020634879</v>
      </c>
      <c r="M9" s="6">
        <f t="shared" si="3"/>
        <v>246.0484700104758</v>
      </c>
      <c r="N9" s="6">
        <f t="shared" si="3"/>
        <v>250.96943941068531</v>
      </c>
      <c r="O9" s="6">
        <f t="shared" si="3"/>
        <v>255.98882819889906</v>
      </c>
      <c r="P9" s="6">
        <f t="shared" si="3"/>
        <v>261.10860476287706</v>
      </c>
      <c r="Q9" s="6">
        <f t="shared" si="3"/>
        <v>266.33077685813458</v>
      </c>
      <c r="R9" s="6">
        <f t="shared" si="3"/>
        <v>271.65739239529728</v>
      </c>
      <c r="S9" s="6">
        <f t="shared" si="3"/>
        <v>277.09054024320329</v>
      </c>
      <c r="T9" s="6">
        <f t="shared" si="3"/>
        <v>282.63235104806733</v>
      </c>
    </row>
    <row r="10" spans="1:20" x14ac:dyDescent="0.3">
      <c r="A10" t="s">
        <v>146</v>
      </c>
      <c r="C10" t="s">
        <v>147</v>
      </c>
      <c r="D10" s="29">
        <v>1.02</v>
      </c>
      <c r="E10" s="7">
        <v>1000</v>
      </c>
      <c r="F10" s="7">
        <f>E10*D10</f>
        <v>1020</v>
      </c>
      <c r="G10" s="7">
        <f>F10*D10</f>
        <v>1040.4000000000001</v>
      </c>
      <c r="H10" s="7">
        <f>G10*D10</f>
        <v>1061.2080000000001</v>
      </c>
      <c r="I10" s="7">
        <f>H10*D10</f>
        <v>1082.4321600000001</v>
      </c>
      <c r="J10" s="7">
        <f>I10*D10</f>
        <v>1104.0808032</v>
      </c>
      <c r="K10" s="7">
        <f>J10*D10</f>
        <v>1126.1624192639999</v>
      </c>
      <c r="L10" s="7">
        <f>K10*D10</f>
        <v>1148.68566764928</v>
      </c>
      <c r="M10" s="7">
        <f>L10*D10</f>
        <v>1171.6593810022657</v>
      </c>
      <c r="N10" s="7">
        <f>M10*D10</f>
        <v>1195.0925686223111</v>
      </c>
      <c r="O10" s="7">
        <f>N10*D10</f>
        <v>1218.9944199947574</v>
      </c>
      <c r="P10" s="7">
        <f>O10*D10</f>
        <v>1243.3743083946526</v>
      </c>
      <c r="Q10" s="7">
        <f>P10*D10</f>
        <v>1268.2417945625457</v>
      </c>
      <c r="R10" s="7">
        <f>Q10*D10</f>
        <v>1293.6066304537967</v>
      </c>
      <c r="S10" s="7">
        <f>R10*D10</f>
        <v>1319.4787630628728</v>
      </c>
      <c r="T10" s="7">
        <f>S10*D10</f>
        <v>1345.8683383241303</v>
      </c>
    </row>
    <row r="11" spans="1:20" x14ac:dyDescent="0.3">
      <c r="A11" t="s">
        <v>149</v>
      </c>
      <c r="C11" t="s">
        <v>109</v>
      </c>
      <c r="D11" s="29"/>
      <c r="E11" s="7">
        <f>E5*E6*12</f>
        <v>2736000</v>
      </c>
      <c r="F11" s="7">
        <f>F5*F6*12</f>
        <v>2860488.0000000005</v>
      </c>
      <c r="G11" s="7">
        <f>G6*G5*12</f>
        <v>2988861.12</v>
      </c>
      <c r="H11" s="7">
        <f>H5*H6*12</f>
        <v>3121224.9696000004</v>
      </c>
      <c r="I11" s="7">
        <f t="shared" ref="I11:T11" si="4">I6*I5*12</f>
        <v>3257687.8287359998</v>
      </c>
      <c r="J11" s="7">
        <f t="shared" si="4"/>
        <v>3428568.3630251512</v>
      </c>
      <c r="K11" s="7">
        <f t="shared" si="4"/>
        <v>3889990.2286217092</v>
      </c>
      <c r="L11" s="7">
        <f t="shared" si="4"/>
        <v>4368497.5414969176</v>
      </c>
      <c r="M11" s="7">
        <f t="shared" si="4"/>
        <v>4864589.150795687</v>
      </c>
      <c r="N11" s="7">
        <f t="shared" si="4"/>
        <v>5378777.0254498087</v>
      </c>
      <c r="O11" s="7">
        <f t="shared" si="4"/>
        <v>5928262.4230953045</v>
      </c>
      <c r="P11" s="7">
        <f t="shared" si="4"/>
        <v>6659164.6509554088</v>
      </c>
      <c r="Q11" s="7">
        <f t="shared" si="4"/>
        <v>7026566.8385943267</v>
      </c>
      <c r="R11" s="7">
        <f t="shared" si="4"/>
        <v>8202345.6895857789</v>
      </c>
      <c r="S11" s="7">
        <f t="shared" si="4"/>
        <v>8980108.5656532999</v>
      </c>
      <c r="T11" s="7">
        <f t="shared" si="4"/>
        <v>9592380.4903708082</v>
      </c>
    </row>
    <row r="12" spans="1:20" x14ac:dyDescent="0.3">
      <c r="A12" t="s">
        <v>154</v>
      </c>
      <c r="D12" t="s">
        <v>109</v>
      </c>
      <c r="E12">
        <f>E14*1000*D13</f>
        <v>234500</v>
      </c>
      <c r="F12">
        <f>F14*1000*D13</f>
        <v>351750</v>
      </c>
      <c r="G12">
        <f>G14*1000*D13</f>
        <v>469000</v>
      </c>
      <c r="H12">
        <f>H14*1000*D13</f>
        <v>586250</v>
      </c>
      <c r="I12">
        <f>I14*1000*D13</f>
        <v>703500</v>
      </c>
      <c r="J12">
        <f>J14*1000*D13</f>
        <v>773850</v>
      </c>
      <c r="K12">
        <f>K14*1000*D13</f>
        <v>469000</v>
      </c>
      <c r="L12">
        <f>L14*1000*D13</f>
        <v>234500</v>
      </c>
      <c r="M12">
        <f>0</f>
        <v>0</v>
      </c>
      <c r="N12">
        <f>N14*1000*D13</f>
        <v>-117250</v>
      </c>
      <c r="O12">
        <f>O14*1000*D13</f>
        <v>-234500</v>
      </c>
      <c r="P12">
        <f>P14*1000*D13</f>
        <v>-351750</v>
      </c>
      <c r="Q12">
        <f>Q14*1000*D13</f>
        <v>-469000</v>
      </c>
      <c r="R12">
        <f>R14*1000*D13</f>
        <v>-656600</v>
      </c>
      <c r="S12">
        <f>S14*1000*D13</f>
        <v>-1172500</v>
      </c>
      <c r="T12">
        <f>T14*1000*D13</f>
        <v>-1500800</v>
      </c>
    </row>
    <row r="13" spans="1:20" x14ac:dyDescent="0.3">
      <c r="A13" t="s">
        <v>152</v>
      </c>
      <c r="C13" t="s">
        <v>109</v>
      </c>
      <c r="D13">
        <v>23.45</v>
      </c>
    </row>
    <row r="14" spans="1:20" x14ac:dyDescent="0.3">
      <c r="A14" t="s">
        <v>153</v>
      </c>
      <c r="E14">
        <v>10</v>
      </c>
      <c r="F14">
        <v>15</v>
      </c>
      <c r="G14">
        <v>20</v>
      </c>
      <c r="H14">
        <v>25</v>
      </c>
      <c r="I14">
        <v>30</v>
      </c>
      <c r="J14">
        <v>33</v>
      </c>
      <c r="K14">
        <v>20</v>
      </c>
      <c r="L14">
        <v>10</v>
      </c>
      <c r="M14">
        <v>0</v>
      </c>
      <c r="N14">
        <v>-5</v>
      </c>
      <c r="O14">
        <v>-10</v>
      </c>
      <c r="P14">
        <v>-15</v>
      </c>
      <c r="Q14">
        <v>-20</v>
      </c>
      <c r="R14">
        <v>-28</v>
      </c>
      <c r="S14">
        <v>-50</v>
      </c>
      <c r="T14">
        <v>-64</v>
      </c>
    </row>
    <row r="15" spans="1:20" x14ac:dyDescent="0.3">
      <c r="A15" t="s">
        <v>155</v>
      </c>
      <c r="E15">
        <v>0</v>
      </c>
      <c r="F15">
        <f>(4.6-4.59)*62*0.2</f>
        <v>0.12399999999999736</v>
      </c>
      <c r="G15">
        <f>(4.6-4.58)*64*0.2</f>
        <v>0.25599999999999457</v>
      </c>
      <c r="H15">
        <f>(4.6-4.58)*65*0.2</f>
        <v>0.25999999999999446</v>
      </c>
      <c r="I15">
        <f>(4.6-4.56)*67*0.2</f>
        <v>0.53600000000000048</v>
      </c>
      <c r="J15">
        <f>(4.6-4.55)*69*0.2</f>
        <v>0.68999999999999762</v>
      </c>
      <c r="K15">
        <f>(4.6-4.54)*70*0.2</f>
        <v>0.83999999999999453</v>
      </c>
      <c r="L15">
        <f>(4.6-4.53)*72*0.2</f>
        <v>1.0079999999999913</v>
      </c>
      <c r="M15">
        <f>(4.6-4.52)*74*0.2</f>
        <v>1.1840000000000011</v>
      </c>
      <c r="N15">
        <f>(4.6-4.51)*75*0.2</f>
        <v>1.3499999999999979</v>
      </c>
      <c r="O15">
        <f>(4.6-4.5)*77*0.2</f>
        <v>1.5399999999999947</v>
      </c>
      <c r="P15">
        <f>(4.6-4.49)*79*0.2</f>
        <v>1.7379999999999911</v>
      </c>
      <c r="Q15">
        <f>(4.6-4.48)*80*0.2</f>
        <v>1.9199999999999875</v>
      </c>
      <c r="R15">
        <f>(4.6-4.47)*82*0.2</f>
        <v>2.1319999999999983</v>
      </c>
      <c r="S15">
        <f>(4.6-4.46)*83*0.2</f>
        <v>2.3239999999999945</v>
      </c>
      <c r="T15">
        <f>(4.6-4.44)*84*0.2</f>
        <v>2.6879999999999877</v>
      </c>
    </row>
    <row r="16" spans="1:20" x14ac:dyDescent="0.3">
      <c r="A16" t="s">
        <v>150</v>
      </c>
      <c r="E16" s="6">
        <f t="shared" ref="E16:T16" si="5">(E11+E12)/1000000+E4-E15</f>
        <v>16.701750000000001</v>
      </c>
      <c r="F16" s="6">
        <f t="shared" si="5"/>
        <v>16.819488</v>
      </c>
      <c r="G16" s="6">
        <f t="shared" si="5"/>
        <v>16.933111120000007</v>
      </c>
      <c r="H16" s="6">
        <f t="shared" si="5"/>
        <v>17.178724969600005</v>
      </c>
      <c r="I16" s="6">
        <f t="shared" si="5"/>
        <v>17.156437828735996</v>
      </c>
      <c r="J16" s="6">
        <f t="shared" si="5"/>
        <v>17.243668363025151</v>
      </c>
      <c r="K16" s="6">
        <f t="shared" si="5"/>
        <v>17.250240228621713</v>
      </c>
      <c r="L16" s="6">
        <f t="shared" si="5"/>
        <v>17.326247541496926</v>
      </c>
      <c r="M16" s="6">
        <f t="shared" si="5"/>
        <v>17.411839150795686</v>
      </c>
      <c r="N16" s="6">
        <f t="shared" si="5"/>
        <v>17.64277702544981</v>
      </c>
      <c r="O16" s="6">
        <f t="shared" si="5"/>
        <v>17.885012423095308</v>
      </c>
      <c r="P16" s="6">
        <f t="shared" si="5"/>
        <v>18.300664650955415</v>
      </c>
      <c r="Q16" s="6">
        <f t="shared" si="5"/>
        <v>18.368816838594338</v>
      </c>
      <c r="R16" s="6">
        <f t="shared" si="5"/>
        <v>19.14499568958578</v>
      </c>
      <c r="S16" s="6">
        <f t="shared" si="5"/>
        <v>19.213608565653306</v>
      </c>
      <c r="T16" s="6">
        <f t="shared" si="5"/>
        <v>19.134830490370817</v>
      </c>
    </row>
    <row r="18" spans="1:20" x14ac:dyDescent="0.3">
      <c r="A18" t="s">
        <v>158</v>
      </c>
      <c r="D18" t="s">
        <v>45</v>
      </c>
      <c r="E18" s="30">
        <f>SUM(E16:T16)</f>
        <v>283.71221288598025</v>
      </c>
    </row>
    <row r="20" spans="1:20" x14ac:dyDescent="0.3">
      <c r="A20" s="2" t="s">
        <v>4</v>
      </c>
    </row>
    <row r="21" spans="1:20" x14ac:dyDescent="0.3">
      <c r="A21" t="s">
        <v>151</v>
      </c>
      <c r="D21">
        <v>0.25</v>
      </c>
      <c r="E21" s="6">
        <f>'Inv.sääst.EUR 2030'!F16*D21</f>
        <v>14.731249999999999</v>
      </c>
      <c r="F21" s="6">
        <v>14.731249999999999</v>
      </c>
      <c r="G21" s="6">
        <v>14.731249999999999</v>
      </c>
      <c r="H21" s="6">
        <v>14.731249999999999</v>
      </c>
      <c r="I21" s="6">
        <v>14.731249999999999</v>
      </c>
      <c r="J21" s="6">
        <v>14.731249999999999</v>
      </c>
      <c r="K21" s="6">
        <v>14.731249999999999</v>
      </c>
      <c r="L21" s="6">
        <v>14.731249999999999</v>
      </c>
      <c r="M21" s="6">
        <v>14.731249999999999</v>
      </c>
      <c r="N21" s="6">
        <v>14.731249999999999</v>
      </c>
      <c r="O21" s="6">
        <v>14.731249999999999</v>
      </c>
      <c r="P21" s="6">
        <v>14.731249999999999</v>
      </c>
      <c r="Q21" s="6">
        <v>14.731249999999999</v>
      </c>
      <c r="R21" s="6">
        <v>14.731249999999999</v>
      </c>
      <c r="S21" s="6">
        <v>14.731249999999999</v>
      </c>
      <c r="T21" s="6">
        <v>14.731249999999999</v>
      </c>
    </row>
    <row r="22" spans="1:20" x14ac:dyDescent="0.3">
      <c r="A22" t="s">
        <v>143</v>
      </c>
      <c r="E22">
        <v>400</v>
      </c>
      <c r="F22">
        <v>410</v>
      </c>
      <c r="G22">
        <v>420</v>
      </c>
      <c r="H22">
        <v>430</v>
      </c>
      <c r="I22">
        <v>440</v>
      </c>
      <c r="J22">
        <v>450</v>
      </c>
      <c r="K22">
        <v>465</v>
      </c>
      <c r="L22">
        <v>480</v>
      </c>
      <c r="M22">
        <v>600</v>
      </c>
      <c r="N22">
        <v>650</v>
      </c>
      <c r="O22">
        <v>700</v>
      </c>
      <c r="P22">
        <v>760</v>
      </c>
      <c r="Q22">
        <v>840</v>
      </c>
      <c r="R22">
        <v>850</v>
      </c>
      <c r="S22">
        <v>960</v>
      </c>
      <c r="T22">
        <v>1016</v>
      </c>
    </row>
    <row r="23" spans="1:20" x14ac:dyDescent="0.3">
      <c r="A23" t="s">
        <v>148</v>
      </c>
      <c r="E23">
        <f t="shared" ref="E23:T23" si="6">SUM(E24:E26)</f>
        <v>570</v>
      </c>
      <c r="F23">
        <f t="shared" si="6"/>
        <v>581.40000000000009</v>
      </c>
      <c r="G23" s="6">
        <f t="shared" si="6"/>
        <v>593.02800000000002</v>
      </c>
      <c r="H23" s="6">
        <f t="shared" si="6"/>
        <v>604.8885600000001</v>
      </c>
      <c r="I23" s="6">
        <f t="shared" si="6"/>
        <v>616.9863312</v>
      </c>
      <c r="J23" s="6">
        <f t="shared" si="6"/>
        <v>629.32605782399992</v>
      </c>
      <c r="K23" s="6">
        <f t="shared" si="6"/>
        <v>641.91257898048002</v>
      </c>
      <c r="L23" s="6">
        <f t="shared" si="6"/>
        <v>654.75083056008964</v>
      </c>
      <c r="M23" s="6">
        <f t="shared" si="6"/>
        <v>667.84584717129144</v>
      </c>
      <c r="N23" s="6">
        <f t="shared" si="6"/>
        <v>681.20276411471741</v>
      </c>
      <c r="O23" s="6">
        <f t="shared" si="6"/>
        <v>694.82681939701172</v>
      </c>
      <c r="P23" s="6">
        <f t="shared" si="6"/>
        <v>708.72335578495199</v>
      </c>
      <c r="Q23" s="6">
        <f t="shared" si="6"/>
        <v>722.89782290065114</v>
      </c>
      <c r="R23" s="6">
        <f t="shared" si="6"/>
        <v>737.35577935866411</v>
      </c>
      <c r="S23" s="6">
        <f t="shared" si="6"/>
        <v>752.10289494583753</v>
      </c>
      <c r="T23" s="6">
        <f t="shared" si="6"/>
        <v>767.14495284475424</v>
      </c>
    </row>
    <row r="24" spans="1:20" x14ac:dyDescent="0.3">
      <c r="A24" t="s">
        <v>41</v>
      </c>
      <c r="E24">
        <f t="shared" ref="E24:T24" si="7">E27*0.33</f>
        <v>330</v>
      </c>
      <c r="F24">
        <f t="shared" si="7"/>
        <v>336.6</v>
      </c>
      <c r="G24" s="6">
        <f t="shared" si="7"/>
        <v>343.33200000000005</v>
      </c>
      <c r="H24" s="6">
        <f t="shared" si="7"/>
        <v>350.19864000000007</v>
      </c>
      <c r="I24" s="6">
        <f t="shared" si="7"/>
        <v>357.20261280000005</v>
      </c>
      <c r="J24" s="6">
        <f t="shared" si="7"/>
        <v>364.34666505600001</v>
      </c>
      <c r="K24" s="6">
        <f t="shared" si="7"/>
        <v>371.63359835711998</v>
      </c>
      <c r="L24" s="6">
        <f t="shared" si="7"/>
        <v>379.06627032426246</v>
      </c>
      <c r="M24" s="6">
        <f t="shared" si="7"/>
        <v>386.6475957307477</v>
      </c>
      <c r="N24" s="6">
        <f t="shared" si="7"/>
        <v>394.3805476453627</v>
      </c>
      <c r="O24" s="6">
        <f t="shared" si="7"/>
        <v>402.26815859826996</v>
      </c>
      <c r="P24" s="6">
        <f t="shared" si="7"/>
        <v>410.31352177023541</v>
      </c>
      <c r="Q24" s="6">
        <f t="shared" si="7"/>
        <v>418.5197922056401</v>
      </c>
      <c r="R24" s="6">
        <f t="shared" si="7"/>
        <v>426.89018804975291</v>
      </c>
      <c r="S24" s="6">
        <f t="shared" si="7"/>
        <v>435.42799181074804</v>
      </c>
      <c r="T24" s="6">
        <f t="shared" si="7"/>
        <v>444.13655164696303</v>
      </c>
    </row>
    <row r="25" spans="1:20" x14ac:dyDescent="0.3">
      <c r="A25" t="s">
        <v>144</v>
      </c>
      <c r="E25">
        <f t="shared" ref="E25:T25" si="8">E27*0.03</f>
        <v>30</v>
      </c>
      <c r="F25">
        <f t="shared" si="8"/>
        <v>30.599999999999998</v>
      </c>
      <c r="G25" s="6">
        <f t="shared" si="8"/>
        <v>31.212000000000003</v>
      </c>
      <c r="H25" s="6">
        <f t="shared" si="8"/>
        <v>31.83624</v>
      </c>
      <c r="I25" s="6">
        <f t="shared" si="8"/>
        <v>32.4729648</v>
      </c>
      <c r="J25" s="6">
        <f t="shared" si="8"/>
        <v>33.122424095999996</v>
      </c>
      <c r="K25" s="6">
        <f t="shared" si="8"/>
        <v>33.784872577919998</v>
      </c>
      <c r="L25" s="6">
        <f t="shared" si="8"/>
        <v>34.460570029478397</v>
      </c>
      <c r="M25" s="6">
        <f t="shared" si="8"/>
        <v>35.149781430067968</v>
      </c>
      <c r="N25" s="6">
        <f t="shared" si="8"/>
        <v>35.852777058669332</v>
      </c>
      <c r="O25" s="6">
        <f t="shared" si="8"/>
        <v>36.569832599842719</v>
      </c>
      <c r="P25" s="6">
        <f t="shared" si="8"/>
        <v>37.30122925183958</v>
      </c>
      <c r="Q25" s="6">
        <f t="shared" si="8"/>
        <v>38.047253836876372</v>
      </c>
      <c r="R25" s="6">
        <f t="shared" si="8"/>
        <v>38.8081989136139</v>
      </c>
      <c r="S25" s="6">
        <f t="shared" si="8"/>
        <v>39.58436289188618</v>
      </c>
      <c r="T25" s="6">
        <f t="shared" si="8"/>
        <v>40.376050149723909</v>
      </c>
    </row>
    <row r="26" spans="1:20" x14ac:dyDescent="0.3">
      <c r="A26" t="s">
        <v>145</v>
      </c>
      <c r="E26">
        <f t="shared" ref="E26:T26" si="9">E27*0.21</f>
        <v>210</v>
      </c>
      <c r="F26">
        <f t="shared" si="9"/>
        <v>214.2</v>
      </c>
      <c r="G26" s="6">
        <f t="shared" si="9"/>
        <v>218.48400000000001</v>
      </c>
      <c r="H26" s="6">
        <f t="shared" si="9"/>
        <v>222.85368</v>
      </c>
      <c r="I26" s="6">
        <f t="shared" si="9"/>
        <v>227.3107536</v>
      </c>
      <c r="J26" s="6">
        <f t="shared" si="9"/>
        <v>231.85696867199999</v>
      </c>
      <c r="K26" s="6">
        <f t="shared" si="9"/>
        <v>236.49410804543999</v>
      </c>
      <c r="L26" s="6">
        <f t="shared" si="9"/>
        <v>241.22399020634879</v>
      </c>
      <c r="M26" s="6">
        <f t="shared" si="9"/>
        <v>246.0484700104758</v>
      </c>
      <c r="N26" s="6">
        <f t="shared" si="9"/>
        <v>250.96943941068531</v>
      </c>
      <c r="O26" s="6">
        <f t="shared" si="9"/>
        <v>255.98882819889906</v>
      </c>
      <c r="P26" s="6">
        <f t="shared" si="9"/>
        <v>261.10860476287706</v>
      </c>
      <c r="Q26" s="6">
        <f t="shared" si="9"/>
        <v>266.33077685813458</v>
      </c>
      <c r="R26" s="6">
        <f t="shared" si="9"/>
        <v>271.65739239529728</v>
      </c>
      <c r="S26" s="6">
        <f t="shared" si="9"/>
        <v>277.09054024320329</v>
      </c>
      <c r="T26" s="6">
        <f t="shared" si="9"/>
        <v>282.63235104806733</v>
      </c>
    </row>
    <row r="27" spans="1:20" x14ac:dyDescent="0.3">
      <c r="A27" t="s">
        <v>146</v>
      </c>
      <c r="C27" t="s">
        <v>147</v>
      </c>
      <c r="D27" s="29">
        <v>1.02</v>
      </c>
      <c r="E27">
        <v>1000</v>
      </c>
      <c r="F27">
        <f>E27*D27</f>
        <v>1020</v>
      </c>
      <c r="G27" s="6">
        <f>F27*D27</f>
        <v>1040.4000000000001</v>
      </c>
      <c r="H27" s="6">
        <f>G27*D27</f>
        <v>1061.2080000000001</v>
      </c>
      <c r="I27" s="6">
        <f>H27*D27</f>
        <v>1082.4321600000001</v>
      </c>
      <c r="J27" s="6">
        <f>I27*D27</f>
        <v>1104.0808032</v>
      </c>
      <c r="K27" s="6">
        <f>J27*D27</f>
        <v>1126.1624192639999</v>
      </c>
      <c r="L27" s="6">
        <f>K27*D27</f>
        <v>1148.68566764928</v>
      </c>
      <c r="M27" s="6">
        <f>L27*D27</f>
        <v>1171.6593810022657</v>
      </c>
      <c r="N27" s="6">
        <f>M27*D27</f>
        <v>1195.0925686223111</v>
      </c>
      <c r="O27" s="6">
        <f>N27*D27</f>
        <v>1218.9944199947574</v>
      </c>
      <c r="P27" s="6">
        <f>O27*D27</f>
        <v>1243.3743083946526</v>
      </c>
      <c r="Q27" s="6">
        <f>P27*D27</f>
        <v>1268.2417945625457</v>
      </c>
      <c r="R27" s="6">
        <f>Q27*D27</f>
        <v>1293.6066304537967</v>
      </c>
      <c r="S27" s="6">
        <f>R27*D27</f>
        <v>1319.4787630628728</v>
      </c>
      <c r="T27" s="6">
        <f>S27*D27</f>
        <v>1345.8683383241303</v>
      </c>
    </row>
    <row r="28" spans="1:20" x14ac:dyDescent="0.3">
      <c r="A28" t="s">
        <v>149</v>
      </c>
      <c r="C28" t="s">
        <v>109</v>
      </c>
      <c r="D28" s="29"/>
      <c r="E28">
        <f t="shared" ref="E28:T28" si="10">E23*E22*12</f>
        <v>2736000</v>
      </c>
      <c r="F28">
        <f t="shared" si="10"/>
        <v>2860488.0000000005</v>
      </c>
      <c r="G28" s="7">
        <f t="shared" si="10"/>
        <v>2988861.12</v>
      </c>
      <c r="H28" s="7">
        <f t="shared" si="10"/>
        <v>3121224.9696000004</v>
      </c>
      <c r="I28" s="7">
        <f t="shared" si="10"/>
        <v>3257687.8287359998</v>
      </c>
      <c r="J28" s="7">
        <f t="shared" si="10"/>
        <v>3398360.7122495994</v>
      </c>
      <c r="K28" s="7">
        <f t="shared" si="10"/>
        <v>3581872.1907110782</v>
      </c>
      <c r="L28" s="7">
        <f t="shared" si="10"/>
        <v>3771364.7840261161</v>
      </c>
      <c r="M28" s="7">
        <f t="shared" si="10"/>
        <v>4808490.0996332988</v>
      </c>
      <c r="N28" s="7">
        <f t="shared" si="10"/>
        <v>5313381.5600947961</v>
      </c>
      <c r="O28" s="7">
        <f t="shared" si="10"/>
        <v>5836545.2829348985</v>
      </c>
      <c r="P28" s="7">
        <f t="shared" si="10"/>
        <v>6463557.0047587622</v>
      </c>
      <c r="Q28" s="7">
        <f t="shared" si="10"/>
        <v>7286810.0548385633</v>
      </c>
      <c r="R28" s="7">
        <f t="shared" si="10"/>
        <v>7521028.9494583737</v>
      </c>
      <c r="S28" s="7">
        <f t="shared" si="10"/>
        <v>8664225.3497760482</v>
      </c>
      <c r="T28" s="7">
        <f t="shared" si="10"/>
        <v>9353031.2650832441</v>
      </c>
    </row>
    <row r="29" spans="1:20" x14ac:dyDescent="0.3">
      <c r="A29" t="s">
        <v>154</v>
      </c>
      <c r="D29" t="s">
        <v>109</v>
      </c>
      <c r="E29">
        <v>0</v>
      </c>
      <c r="F29">
        <v>0</v>
      </c>
      <c r="G29">
        <v>0</v>
      </c>
      <c r="H29">
        <v>0</v>
      </c>
      <c r="I29">
        <v>0</v>
      </c>
      <c r="J29">
        <f>J31*1000*D30</f>
        <v>-93800</v>
      </c>
      <c r="K29">
        <f>K31*1000*D30</f>
        <v>-351750</v>
      </c>
      <c r="L29">
        <f>L31*1000*D30</f>
        <v>-703500</v>
      </c>
      <c r="M29">
        <f>M31*1000*D30</f>
        <v>-938000</v>
      </c>
      <c r="N29">
        <f>N31*1000*D30</f>
        <v>-1289750</v>
      </c>
      <c r="O29">
        <f>O31*1000*D30</f>
        <v>-1618050</v>
      </c>
      <c r="P29">
        <f>P31*1000*D30</f>
        <v>-1758750</v>
      </c>
      <c r="Q29">
        <f>Q31*1000*D30</f>
        <v>-1993250</v>
      </c>
      <c r="R29">
        <f>R31*1000*D30</f>
        <v>-2345000</v>
      </c>
      <c r="S29">
        <f>S31*1000*D30</f>
        <v>-2814000</v>
      </c>
      <c r="T29">
        <f>T31*1000*D30</f>
        <v>-3376800</v>
      </c>
    </row>
    <row r="30" spans="1:20" x14ac:dyDescent="0.3">
      <c r="A30" t="s">
        <v>152</v>
      </c>
      <c r="C30" t="s">
        <v>109</v>
      </c>
      <c r="D30">
        <v>23.45</v>
      </c>
    </row>
    <row r="31" spans="1:20" x14ac:dyDescent="0.3">
      <c r="A31" t="s">
        <v>153</v>
      </c>
      <c r="E31">
        <v>0</v>
      </c>
      <c r="F31">
        <v>0</v>
      </c>
      <c r="G31">
        <v>0</v>
      </c>
      <c r="H31">
        <v>0</v>
      </c>
      <c r="I31">
        <v>0</v>
      </c>
      <c r="J31">
        <v>-4</v>
      </c>
      <c r="K31">
        <v>-15</v>
      </c>
      <c r="L31">
        <v>-30</v>
      </c>
      <c r="M31">
        <v>-40</v>
      </c>
      <c r="N31">
        <v>-55</v>
      </c>
      <c r="O31">
        <v>-69</v>
      </c>
      <c r="P31">
        <v>-75</v>
      </c>
      <c r="Q31">
        <v>-85</v>
      </c>
      <c r="R31">
        <v>-100</v>
      </c>
      <c r="S31">
        <v>-120</v>
      </c>
      <c r="T31">
        <v>-144</v>
      </c>
    </row>
    <row r="32" spans="1:20" x14ac:dyDescent="0.3">
      <c r="A32" t="s">
        <v>155</v>
      </c>
      <c r="E32">
        <v>0</v>
      </c>
      <c r="F32">
        <f>(4.6-4.58)*62*0.2</f>
        <v>0.24799999999999472</v>
      </c>
      <c r="G32">
        <f>(4.6-4.55)*64*0.2</f>
        <v>0.63999999999999779</v>
      </c>
      <c r="H32">
        <f>(4.6-4.5)*66*0.2</f>
        <v>1.3199999999999954</v>
      </c>
      <c r="I32">
        <f>(4.6-4.45)*68*0.2</f>
        <v>2.0399999999999929</v>
      </c>
      <c r="J32">
        <f>(4.6-4.4)*70*0.2</f>
        <v>2.7999999999999901</v>
      </c>
      <c r="K32">
        <f>(4.6-4.37)*72*0.2</f>
        <v>3.3119999999999936</v>
      </c>
      <c r="L32">
        <f>(4.6-4.33)*74*0.2</f>
        <v>3.9959999999999938</v>
      </c>
      <c r="M32">
        <f>(4.6-4.3)*76*0.2</f>
        <v>4.5599999999999978</v>
      </c>
      <c r="N32">
        <f>(4.6-4.25)*78*0.2</f>
        <v>5.4599999999999946</v>
      </c>
      <c r="O32">
        <f>(4.6-4.2)*80*0.2</f>
        <v>6.3999999999999915</v>
      </c>
      <c r="P32">
        <f>(4.6-4.16)*82*0.2</f>
        <v>7.2159999999999913</v>
      </c>
      <c r="Q32">
        <f>(4.6-4.13)*83*0.2</f>
        <v>7.801999999999996</v>
      </c>
      <c r="R32">
        <f>(4.6-4.1)*84*0.2</f>
        <v>8.4</v>
      </c>
      <c r="S32">
        <f>(4.6-4.08)*85*0.2</f>
        <v>8.8399999999999928</v>
      </c>
      <c r="T32">
        <f>(4.6-4.06)*86*0.2</f>
        <v>9.288000000000002</v>
      </c>
    </row>
    <row r="33" spans="1:20" x14ac:dyDescent="0.3">
      <c r="A33" t="s">
        <v>150</v>
      </c>
      <c r="E33" s="6">
        <f t="shared" ref="E33:T33" si="11">(E28+E29)/1000000+E21-E32</f>
        <v>17.46725</v>
      </c>
      <c r="F33" s="6">
        <f t="shared" si="11"/>
        <v>17.343738000000005</v>
      </c>
      <c r="G33" s="6">
        <f t="shared" si="11"/>
        <v>17.080111120000002</v>
      </c>
      <c r="H33" s="6">
        <f t="shared" si="11"/>
        <v>16.532474969600003</v>
      </c>
      <c r="I33" s="6">
        <f t="shared" si="11"/>
        <v>15.948937828736007</v>
      </c>
      <c r="J33" s="6">
        <f t="shared" si="11"/>
        <v>15.235810712249609</v>
      </c>
      <c r="K33" s="6">
        <f t="shared" si="11"/>
        <v>14.649372190711084</v>
      </c>
      <c r="L33" s="6">
        <f t="shared" si="11"/>
        <v>13.803114784026123</v>
      </c>
      <c r="M33" s="6">
        <f t="shared" si="11"/>
        <v>14.041740099633298</v>
      </c>
      <c r="N33" s="6">
        <f t="shared" si="11"/>
        <v>13.294881560094801</v>
      </c>
      <c r="O33" s="6">
        <f t="shared" si="11"/>
        <v>12.549745282934907</v>
      </c>
      <c r="P33" s="6">
        <f t="shared" si="11"/>
        <v>12.220057004758772</v>
      </c>
      <c r="Q33" s="6">
        <f t="shared" si="11"/>
        <v>12.222810054838565</v>
      </c>
      <c r="R33" s="6">
        <f t="shared" si="11"/>
        <v>11.507278949458373</v>
      </c>
      <c r="S33" s="6">
        <f t="shared" si="11"/>
        <v>11.741475349776056</v>
      </c>
      <c r="T33" s="6">
        <f t="shared" si="11"/>
        <v>11.41948126508324</v>
      </c>
    </row>
    <row r="35" spans="1:20" x14ac:dyDescent="0.3">
      <c r="A35" t="s">
        <v>158</v>
      </c>
      <c r="D35" t="s">
        <v>45</v>
      </c>
      <c r="E35" s="30">
        <f>SUM(E33:T33)</f>
        <v>227.05827917190086</v>
      </c>
    </row>
    <row r="38" spans="1:20" x14ac:dyDescent="0.3">
      <c r="A38" s="2" t="s">
        <v>156</v>
      </c>
    </row>
    <row r="39" spans="1:20" x14ac:dyDescent="0.3">
      <c r="A39" t="s">
        <v>151</v>
      </c>
      <c r="D39">
        <v>0.25</v>
      </c>
      <c r="E39" s="4">
        <f>'Inv.sääst.EUR 2030'!F22*Maksutulu!D39</f>
        <v>15.887499999999999</v>
      </c>
      <c r="F39" s="4">
        <v>15.887499999999999</v>
      </c>
      <c r="G39" s="4">
        <v>15.887499999999999</v>
      </c>
      <c r="H39" s="4">
        <v>15.887499999999999</v>
      </c>
      <c r="I39" s="4">
        <v>15.887499999999999</v>
      </c>
      <c r="J39" s="4">
        <v>15.887499999999999</v>
      </c>
      <c r="K39" s="4">
        <v>15.887499999999999</v>
      </c>
      <c r="L39" s="4">
        <v>15.887499999999999</v>
      </c>
      <c r="M39" s="4">
        <v>15.887499999999999</v>
      </c>
      <c r="N39" s="4">
        <v>15.887499999999999</v>
      </c>
      <c r="O39" s="4">
        <v>15.887499999999999</v>
      </c>
      <c r="P39" s="4">
        <v>15.887499999999999</v>
      </c>
      <c r="Q39" s="4">
        <v>15.887499999999999</v>
      </c>
      <c r="R39" s="4">
        <v>15.887499999999999</v>
      </c>
      <c r="S39" s="4">
        <v>15.887499999999999</v>
      </c>
      <c r="T39" s="4">
        <v>15.887499999999999</v>
      </c>
    </row>
    <row r="40" spans="1:20" x14ac:dyDescent="0.3">
      <c r="A40" t="s">
        <v>143</v>
      </c>
      <c r="E40">
        <v>400</v>
      </c>
      <c r="F40">
        <v>410</v>
      </c>
      <c r="G40">
        <v>420</v>
      </c>
      <c r="H40">
        <v>430</v>
      </c>
      <c r="I40">
        <v>440</v>
      </c>
      <c r="J40">
        <v>470</v>
      </c>
      <c r="K40">
        <v>500</v>
      </c>
      <c r="L40">
        <v>530</v>
      </c>
      <c r="M40">
        <v>570</v>
      </c>
      <c r="N40">
        <v>600</v>
      </c>
      <c r="O40">
        <v>630</v>
      </c>
      <c r="P40">
        <v>660</v>
      </c>
      <c r="Q40">
        <v>700</v>
      </c>
      <c r="R40">
        <v>750</v>
      </c>
      <c r="S40">
        <v>800</v>
      </c>
      <c r="T40">
        <v>857</v>
      </c>
    </row>
    <row r="41" spans="1:20" x14ac:dyDescent="0.3">
      <c r="A41" t="s">
        <v>148</v>
      </c>
      <c r="E41">
        <f t="shared" ref="E41:T41" si="12">SUM(E42:E44)</f>
        <v>570</v>
      </c>
      <c r="F41" s="7">
        <f t="shared" si="12"/>
        <v>581.40000000000009</v>
      </c>
      <c r="G41" s="7">
        <f t="shared" si="12"/>
        <v>593.02800000000002</v>
      </c>
      <c r="H41" s="7">
        <f t="shared" si="12"/>
        <v>604.8885600000001</v>
      </c>
      <c r="I41" s="7">
        <f t="shared" si="12"/>
        <v>616.9863312</v>
      </c>
      <c r="J41" s="7">
        <f t="shared" si="12"/>
        <v>629.32605782399992</v>
      </c>
      <c r="K41" s="7">
        <f t="shared" si="12"/>
        <v>641.91257898048002</v>
      </c>
      <c r="L41" s="7">
        <f t="shared" si="12"/>
        <v>654.75083056008964</v>
      </c>
      <c r="M41" s="7">
        <f t="shared" si="12"/>
        <v>667.84584717129144</v>
      </c>
      <c r="N41" s="7">
        <f t="shared" si="12"/>
        <v>681.20276411471741</v>
      </c>
      <c r="O41" s="7">
        <f t="shared" si="12"/>
        <v>694.82681939701172</v>
      </c>
      <c r="P41" s="7">
        <f t="shared" si="12"/>
        <v>708.72335578495199</v>
      </c>
      <c r="Q41" s="7">
        <f t="shared" si="12"/>
        <v>722.89782290065114</v>
      </c>
      <c r="R41" s="7">
        <f t="shared" si="12"/>
        <v>737.35577935866411</v>
      </c>
      <c r="S41" s="7">
        <f t="shared" si="12"/>
        <v>752.10289494583753</v>
      </c>
      <c r="T41" s="7">
        <f t="shared" si="12"/>
        <v>767.14495284475424</v>
      </c>
    </row>
    <row r="42" spans="1:20" x14ac:dyDescent="0.3">
      <c r="A42" t="s">
        <v>41</v>
      </c>
      <c r="E42">
        <f t="shared" ref="E42:T42" si="13">E45*0.33</f>
        <v>330</v>
      </c>
      <c r="F42" s="7">
        <f t="shared" si="13"/>
        <v>336.6</v>
      </c>
      <c r="G42" s="7">
        <f t="shared" si="13"/>
        <v>343.33200000000005</v>
      </c>
      <c r="H42" s="7">
        <f t="shared" si="13"/>
        <v>350.19864000000007</v>
      </c>
      <c r="I42" s="7">
        <f t="shared" si="13"/>
        <v>357.20261280000005</v>
      </c>
      <c r="J42" s="7">
        <f t="shared" si="13"/>
        <v>364.34666505600001</v>
      </c>
      <c r="K42" s="7">
        <f t="shared" si="13"/>
        <v>371.63359835711998</v>
      </c>
      <c r="L42" s="7">
        <f t="shared" si="13"/>
        <v>379.06627032426246</v>
      </c>
      <c r="M42" s="7">
        <f t="shared" si="13"/>
        <v>386.6475957307477</v>
      </c>
      <c r="N42" s="7">
        <f t="shared" si="13"/>
        <v>394.3805476453627</v>
      </c>
      <c r="O42" s="7">
        <f t="shared" si="13"/>
        <v>402.26815859826996</v>
      </c>
      <c r="P42" s="7">
        <f t="shared" si="13"/>
        <v>410.31352177023541</v>
      </c>
      <c r="Q42" s="7">
        <f t="shared" si="13"/>
        <v>418.5197922056401</v>
      </c>
      <c r="R42" s="7">
        <f t="shared" si="13"/>
        <v>426.89018804975291</v>
      </c>
      <c r="S42" s="7">
        <f t="shared" si="13"/>
        <v>435.42799181074804</v>
      </c>
      <c r="T42" s="7">
        <f t="shared" si="13"/>
        <v>444.13655164696303</v>
      </c>
    </row>
    <row r="43" spans="1:20" x14ac:dyDescent="0.3">
      <c r="A43" t="s">
        <v>144</v>
      </c>
      <c r="E43">
        <f t="shared" ref="E43:T43" si="14">E45*0.03</f>
        <v>30</v>
      </c>
      <c r="F43" s="7">
        <f t="shared" si="14"/>
        <v>30.599999999999998</v>
      </c>
      <c r="G43" s="7">
        <f t="shared" si="14"/>
        <v>31.212000000000003</v>
      </c>
      <c r="H43" s="7">
        <f t="shared" si="14"/>
        <v>31.83624</v>
      </c>
      <c r="I43" s="7">
        <f t="shared" si="14"/>
        <v>32.4729648</v>
      </c>
      <c r="J43" s="7">
        <f t="shared" si="14"/>
        <v>33.122424095999996</v>
      </c>
      <c r="K43" s="7">
        <f t="shared" si="14"/>
        <v>33.784872577919998</v>
      </c>
      <c r="L43" s="7">
        <f t="shared" si="14"/>
        <v>34.460570029478397</v>
      </c>
      <c r="M43" s="7">
        <f t="shared" si="14"/>
        <v>35.149781430067968</v>
      </c>
      <c r="N43" s="7">
        <f t="shared" si="14"/>
        <v>35.852777058669332</v>
      </c>
      <c r="O43" s="7">
        <f t="shared" si="14"/>
        <v>36.569832599842719</v>
      </c>
      <c r="P43" s="7">
        <f t="shared" si="14"/>
        <v>37.30122925183958</v>
      </c>
      <c r="Q43" s="7">
        <f t="shared" si="14"/>
        <v>38.047253836876372</v>
      </c>
      <c r="R43" s="7">
        <f t="shared" si="14"/>
        <v>38.8081989136139</v>
      </c>
      <c r="S43" s="7">
        <f t="shared" si="14"/>
        <v>39.58436289188618</v>
      </c>
      <c r="T43" s="7">
        <f t="shared" si="14"/>
        <v>40.376050149723909</v>
      </c>
    </row>
    <row r="44" spans="1:20" x14ac:dyDescent="0.3">
      <c r="A44" t="s">
        <v>145</v>
      </c>
      <c r="E44">
        <f t="shared" ref="E44:T44" si="15">E45*0.21</f>
        <v>210</v>
      </c>
      <c r="F44" s="7">
        <f t="shared" si="15"/>
        <v>214.2</v>
      </c>
      <c r="G44" s="7">
        <f t="shared" si="15"/>
        <v>218.48400000000001</v>
      </c>
      <c r="H44" s="7">
        <f t="shared" si="15"/>
        <v>222.85368</v>
      </c>
      <c r="I44" s="7">
        <f t="shared" si="15"/>
        <v>227.3107536</v>
      </c>
      <c r="J44" s="7">
        <f t="shared" si="15"/>
        <v>231.85696867199999</v>
      </c>
      <c r="K44" s="7">
        <f t="shared" si="15"/>
        <v>236.49410804543999</v>
      </c>
      <c r="L44" s="7">
        <f t="shared" si="15"/>
        <v>241.22399020634879</v>
      </c>
      <c r="M44" s="7">
        <f t="shared" si="15"/>
        <v>246.0484700104758</v>
      </c>
      <c r="N44" s="7">
        <f t="shared" si="15"/>
        <v>250.96943941068531</v>
      </c>
      <c r="O44" s="7">
        <f t="shared" si="15"/>
        <v>255.98882819889906</v>
      </c>
      <c r="P44" s="7">
        <f t="shared" si="15"/>
        <v>261.10860476287706</v>
      </c>
      <c r="Q44" s="7">
        <f t="shared" si="15"/>
        <v>266.33077685813458</v>
      </c>
      <c r="R44" s="7">
        <f t="shared" si="15"/>
        <v>271.65739239529728</v>
      </c>
      <c r="S44" s="7">
        <f t="shared" si="15"/>
        <v>277.09054024320329</v>
      </c>
      <c r="T44" s="7">
        <f t="shared" si="15"/>
        <v>282.63235104806733</v>
      </c>
    </row>
    <row r="45" spans="1:20" x14ac:dyDescent="0.3">
      <c r="A45" t="s">
        <v>146</v>
      </c>
      <c r="C45" t="s">
        <v>147</v>
      </c>
      <c r="D45" s="29">
        <v>1.02</v>
      </c>
      <c r="E45">
        <v>1000</v>
      </c>
      <c r="F45">
        <f>E45*D45</f>
        <v>1020</v>
      </c>
      <c r="G45" s="7">
        <f>F45*D45</f>
        <v>1040.4000000000001</v>
      </c>
      <c r="H45" s="7">
        <f>G45*D45</f>
        <v>1061.2080000000001</v>
      </c>
      <c r="I45" s="7">
        <f>H45*D45</f>
        <v>1082.4321600000001</v>
      </c>
      <c r="J45" s="7">
        <f>I45*D45</f>
        <v>1104.0808032</v>
      </c>
      <c r="K45" s="7">
        <f>J45*D45</f>
        <v>1126.1624192639999</v>
      </c>
      <c r="L45" s="7">
        <f>K45*D45</f>
        <v>1148.68566764928</v>
      </c>
      <c r="M45" s="7">
        <f>L45*D45</f>
        <v>1171.6593810022657</v>
      </c>
      <c r="N45" s="7">
        <f>M45*D45</f>
        <v>1195.0925686223111</v>
      </c>
      <c r="O45" s="7">
        <f>N45*D45</f>
        <v>1218.9944199947574</v>
      </c>
      <c r="P45" s="7">
        <f>O45*D45</f>
        <v>1243.3743083946526</v>
      </c>
      <c r="Q45" s="7">
        <f>P45*D45</f>
        <v>1268.2417945625457</v>
      </c>
      <c r="R45" s="7">
        <f>Q45*D45</f>
        <v>1293.6066304537967</v>
      </c>
      <c r="S45" s="7">
        <f>R45*D45</f>
        <v>1319.4787630628728</v>
      </c>
      <c r="T45" s="7">
        <f>S45*D45</f>
        <v>1345.8683383241303</v>
      </c>
    </row>
    <row r="46" spans="1:20" x14ac:dyDescent="0.3">
      <c r="A46" t="s">
        <v>149</v>
      </c>
      <c r="C46" t="s">
        <v>109</v>
      </c>
      <c r="D46" s="29"/>
      <c r="E46">
        <f t="shared" ref="E46:T46" si="16">E41*E40*12</f>
        <v>2736000</v>
      </c>
      <c r="F46">
        <f t="shared" si="16"/>
        <v>2860488.0000000005</v>
      </c>
      <c r="G46" s="7">
        <f t="shared" si="16"/>
        <v>2988861.12</v>
      </c>
      <c r="H46" s="7">
        <f t="shared" si="16"/>
        <v>3121224.9696000004</v>
      </c>
      <c r="I46" s="7">
        <f t="shared" si="16"/>
        <v>3257687.8287359998</v>
      </c>
      <c r="J46" s="7">
        <f t="shared" si="16"/>
        <v>3549398.9661273593</v>
      </c>
      <c r="K46" s="7">
        <f t="shared" si="16"/>
        <v>3851475.4738828801</v>
      </c>
      <c r="L46" s="7">
        <f t="shared" si="16"/>
        <v>4164215.2823621696</v>
      </c>
      <c r="M46" s="7">
        <f t="shared" si="16"/>
        <v>4568065.5946516339</v>
      </c>
      <c r="N46" s="7">
        <f t="shared" si="16"/>
        <v>4904659.9016259657</v>
      </c>
      <c r="O46" s="7">
        <f t="shared" si="16"/>
        <v>5252890.754641409</v>
      </c>
      <c r="P46" s="7">
        <f t="shared" si="16"/>
        <v>5613088.9778168201</v>
      </c>
      <c r="Q46" s="7">
        <f t="shared" si="16"/>
        <v>6072341.712365469</v>
      </c>
      <c r="R46" s="7">
        <f t="shared" si="16"/>
        <v>6636202.014227977</v>
      </c>
      <c r="S46" s="7">
        <f t="shared" si="16"/>
        <v>7220187.7914800402</v>
      </c>
      <c r="T46" s="7">
        <f t="shared" si="16"/>
        <v>7889318.6950554522</v>
      </c>
    </row>
    <row r="47" spans="1:20" x14ac:dyDescent="0.3">
      <c r="A47" t="s">
        <v>154</v>
      </c>
      <c r="D47" t="s">
        <v>109</v>
      </c>
      <c r="E47">
        <v>0</v>
      </c>
      <c r="F47">
        <f>F49*1000*D48</f>
        <v>-234500</v>
      </c>
      <c r="G47">
        <f>G49*1000*D48</f>
        <v>-469000</v>
      </c>
      <c r="H47">
        <f>H49*1000*D48</f>
        <v>-703500</v>
      </c>
      <c r="I47">
        <f>I49*1000*D48</f>
        <v>-938000</v>
      </c>
      <c r="J47">
        <f>J49*1000*D48</f>
        <v>-1242850</v>
      </c>
      <c r="K47">
        <f>K49*1000*D48</f>
        <v>-1641500</v>
      </c>
      <c r="L47">
        <f>L49*1000*D48</f>
        <v>-2063600</v>
      </c>
      <c r="M47">
        <f>M49*1000*D48</f>
        <v>-2345000</v>
      </c>
      <c r="N47">
        <f>N49*1000*D48</f>
        <v>-2649850</v>
      </c>
      <c r="O47">
        <f>O49*1000*D48</f>
        <v>-3025050</v>
      </c>
      <c r="P47">
        <f>P49*1000*D48</f>
        <v>-3517500</v>
      </c>
      <c r="Q47">
        <f>Q49*1000*D48</f>
        <v>-3986500</v>
      </c>
      <c r="R47">
        <f>R49*1000*D48</f>
        <v>-4455500</v>
      </c>
      <c r="S47">
        <f>S49*1000*D48</f>
        <v>-4924500</v>
      </c>
      <c r="T47">
        <f>T49*1000*D48</f>
        <v>-5276250</v>
      </c>
    </row>
    <row r="48" spans="1:20" x14ac:dyDescent="0.3">
      <c r="A48" t="s">
        <v>152</v>
      </c>
      <c r="C48" t="s">
        <v>109</v>
      </c>
      <c r="D48">
        <v>23.45</v>
      </c>
    </row>
    <row r="49" spans="1:20" x14ac:dyDescent="0.3">
      <c r="A49" t="s">
        <v>153</v>
      </c>
      <c r="E49">
        <v>0</v>
      </c>
      <c r="F49">
        <v>-10</v>
      </c>
      <c r="G49">
        <v>-20</v>
      </c>
      <c r="H49">
        <v>-30</v>
      </c>
      <c r="I49">
        <v>-40</v>
      </c>
      <c r="J49">
        <v>-53</v>
      </c>
      <c r="K49">
        <v>-70</v>
      </c>
      <c r="L49">
        <v>-88</v>
      </c>
      <c r="M49">
        <v>-100</v>
      </c>
      <c r="N49">
        <v>-113</v>
      </c>
      <c r="O49">
        <v>-129</v>
      </c>
      <c r="P49">
        <v>-150</v>
      </c>
      <c r="Q49">
        <v>-170</v>
      </c>
      <c r="R49">
        <v>-190</v>
      </c>
      <c r="S49">
        <v>-210</v>
      </c>
      <c r="T49">
        <v>-225</v>
      </c>
    </row>
    <row r="50" spans="1:20" x14ac:dyDescent="0.3">
      <c r="A50" t="s">
        <v>155</v>
      </c>
      <c r="E50">
        <v>0</v>
      </c>
      <c r="F50">
        <f>(4.6-4.54)*63*0.2</f>
        <v>0.75599999999999512</v>
      </c>
      <c r="G50">
        <f>(4.6-4.48)*66*0.2</f>
        <v>1.5839999999999899</v>
      </c>
      <c r="H50">
        <f>(4.6-4.39)*68*0.2</f>
        <v>2.8559999999999999</v>
      </c>
      <c r="I50">
        <f>(4.6-4.3)*70*0.2</f>
        <v>4.1999999999999975</v>
      </c>
      <c r="J50">
        <f>(4.6-4.2)*72*0.2</f>
        <v>5.7599999999999927</v>
      </c>
      <c r="K50">
        <f>(4.6-4.12)*74*0.2</f>
        <v>7.1039999999999939</v>
      </c>
      <c r="L50">
        <f>(4.6-4.04)*76*0.2</f>
        <v>8.5119999999999951</v>
      </c>
      <c r="M50">
        <f>(4.6-3.96)*78*0.2</f>
        <v>9.9839999999999947</v>
      </c>
      <c r="N50">
        <f>(4.6-3.88)*80*0.2</f>
        <v>11.519999999999996</v>
      </c>
      <c r="O50">
        <f>(4.6-3.8)*82*0.2</f>
        <v>13.119999999999997</v>
      </c>
      <c r="P50">
        <f>(4.6-3.75)*84*0.2</f>
        <v>14.279999999999996</v>
      </c>
      <c r="Q50">
        <f>(4.6-3.7)*86*0.2</f>
        <v>15.47999999999999</v>
      </c>
      <c r="R50">
        <f>(4.6-3.65)*88*0.2</f>
        <v>16.719999999999995</v>
      </c>
      <c r="S50">
        <f>(4.6-3.6)*89*0.2</f>
        <v>17.799999999999994</v>
      </c>
      <c r="T50">
        <f>(4.6-3.54)*90*0.2</f>
        <v>19.079999999999995</v>
      </c>
    </row>
    <row r="51" spans="1:20" x14ac:dyDescent="0.3">
      <c r="A51" t="s">
        <v>150</v>
      </c>
      <c r="E51" s="4">
        <f t="shared" ref="E51:T51" si="17">(E46+E47)/1000000+E39-E50</f>
        <v>18.6235</v>
      </c>
      <c r="F51" s="4">
        <f t="shared" si="17"/>
        <v>17.757488000000002</v>
      </c>
      <c r="G51" s="4">
        <f t="shared" si="17"/>
        <v>16.823361120000012</v>
      </c>
      <c r="H51" s="4">
        <f t="shared" si="17"/>
        <v>15.449224969600001</v>
      </c>
      <c r="I51" s="4">
        <f t="shared" si="17"/>
        <v>14.007187828736003</v>
      </c>
      <c r="J51" s="4">
        <f t="shared" si="17"/>
        <v>12.434048966127365</v>
      </c>
      <c r="K51" s="4">
        <f t="shared" si="17"/>
        <v>10.993475473882887</v>
      </c>
      <c r="L51" s="4">
        <f t="shared" si="17"/>
        <v>9.4761152823621746</v>
      </c>
      <c r="M51" s="4">
        <f t="shared" si="17"/>
        <v>8.1265655946516375</v>
      </c>
      <c r="N51" s="4">
        <f t="shared" si="17"/>
        <v>6.6223099016259681</v>
      </c>
      <c r="O51" s="4">
        <f t="shared" si="17"/>
        <v>4.9953407546414113</v>
      </c>
      <c r="P51" s="4">
        <f t="shared" si="17"/>
        <v>3.7030889778168241</v>
      </c>
      <c r="Q51" s="4">
        <f t="shared" si="17"/>
        <v>2.4933417123654777</v>
      </c>
      <c r="R51" s="4">
        <f t="shared" si="17"/>
        <v>1.3482020142279829</v>
      </c>
      <c r="S51" s="4">
        <f t="shared" si="17"/>
        <v>0.38318779148004722</v>
      </c>
      <c r="T51" s="4">
        <f t="shared" si="17"/>
        <v>-0.57943130494454209</v>
      </c>
    </row>
    <row r="53" spans="1:20" x14ac:dyDescent="0.3">
      <c r="A53" t="s">
        <v>158</v>
      </c>
      <c r="D53" t="s">
        <v>45</v>
      </c>
      <c r="E53" s="30">
        <f>SUM(E51:T51)</f>
        <v>142.65700708257327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Muutused</vt:lpstr>
      <vt:lpstr>Välismõjud</vt:lpstr>
      <vt:lpstr>Inv.sääst.EUR 2030</vt:lpstr>
      <vt:lpstr>2050</vt:lpstr>
      <vt:lpstr>Tarbimine ja tootmine</vt:lpstr>
      <vt:lpstr>Kütuste kulu</vt:lpstr>
      <vt:lpstr>Tootmiskulud</vt:lpstr>
      <vt:lpstr>Maksutulu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Lembit Vali</dc:creator>
  <cp:lastModifiedBy>Jaanus Uiga</cp:lastModifiedBy>
  <cp:lastPrinted>2014-02-19T11:42:22Z</cp:lastPrinted>
  <dcterms:created xsi:type="dcterms:W3CDTF">2013-09-12T08:40:49Z</dcterms:created>
  <dcterms:modified xsi:type="dcterms:W3CDTF">2014-07-30T11:15:26Z</dcterms:modified>
</cp:coreProperties>
</file>