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1206ece3e1fc115/Documents/ENMAK 2030^M stsenaariumite tulemused/Kohalike kütuste tootmise stsenaariumid/Põlevkivi/"/>
    </mc:Choice>
  </mc:AlternateContent>
  <bookViews>
    <workbookView xWindow="1368" yWindow="276" windowWidth="20616" windowHeight="11640" activeTab="2"/>
  </bookViews>
  <sheets>
    <sheet name="TSK õlitootmise tootmishind" sheetId="1" r:id="rId1"/>
    <sheet name="gaasist elekter" sheetId="4" r:id="rId2"/>
    <sheet name="15 20 25 mln" sheetId="5" r:id="rId3"/>
    <sheet name="Narva" sheetId="2" r:id="rId4"/>
    <sheet name="Sheet3" sheetId="3" r:id="rId5"/>
  </sheets>
  <calcPr calcId="152511"/>
</workbook>
</file>

<file path=xl/calcChain.xml><?xml version="1.0" encoding="utf-8"?>
<calcChain xmlns="http://schemas.openxmlformats.org/spreadsheetml/2006/main">
  <c r="B6" i="5" l="1"/>
  <c r="K110" i="5"/>
  <c r="N82" i="5"/>
  <c r="M82" i="5"/>
  <c r="L82" i="5"/>
  <c r="N81" i="5"/>
  <c r="M81" i="5"/>
  <c r="L81" i="5"/>
  <c r="L80" i="5"/>
  <c r="N79" i="5"/>
  <c r="M79" i="5"/>
  <c r="N78" i="5"/>
  <c r="M78" i="5"/>
  <c r="N77" i="5"/>
  <c r="M77" i="5"/>
  <c r="N76" i="5"/>
  <c r="M76" i="5"/>
  <c r="N75" i="5"/>
  <c r="M75" i="5"/>
  <c r="N74" i="5"/>
  <c r="M74" i="5"/>
  <c r="L74" i="5"/>
  <c r="N73" i="5"/>
  <c r="M73" i="5"/>
  <c r="L73" i="5"/>
  <c r="N72" i="5"/>
  <c r="M72" i="5"/>
  <c r="L72" i="5"/>
  <c r="N71" i="5"/>
  <c r="M71" i="5"/>
  <c r="L71" i="5"/>
  <c r="N70" i="5"/>
  <c r="M70" i="5"/>
  <c r="L70" i="5"/>
  <c r="N69" i="5"/>
  <c r="M69" i="5"/>
  <c r="L69" i="5"/>
  <c r="N68" i="5"/>
  <c r="M68" i="5"/>
  <c r="L68" i="5"/>
  <c r="N67" i="5"/>
  <c r="M67" i="5"/>
  <c r="L67" i="5"/>
  <c r="N66" i="5"/>
  <c r="M66" i="5"/>
  <c r="L66" i="5"/>
  <c r="N65" i="5"/>
  <c r="M65" i="5"/>
  <c r="L65" i="5"/>
  <c r="N64" i="5"/>
  <c r="M64" i="5"/>
  <c r="L64" i="5"/>
  <c r="N16" i="5"/>
  <c r="M16" i="5"/>
  <c r="L16" i="5"/>
  <c r="I16" i="5"/>
  <c r="N15" i="5"/>
  <c r="M15" i="5"/>
  <c r="I15" i="5"/>
  <c r="N14" i="5"/>
  <c r="M14" i="5"/>
  <c r="L14" i="5"/>
  <c r="I14" i="5"/>
  <c r="N10" i="5"/>
  <c r="M10" i="5"/>
  <c r="L10" i="5"/>
  <c r="I10" i="5"/>
  <c r="L18" i="5" l="1"/>
  <c r="N22" i="5"/>
  <c r="N33" i="5" s="1"/>
  <c r="L25" i="5"/>
  <c r="L23" i="5"/>
  <c r="L34" i="5" s="1"/>
  <c r="I22" i="5"/>
  <c r="I33" i="5" s="1"/>
  <c r="M23" i="5"/>
  <c r="M34" i="5" s="1"/>
  <c r="M25" i="5"/>
  <c r="L84" i="5"/>
  <c r="L86" i="5" s="1"/>
  <c r="L87" i="5" s="1"/>
  <c r="N18" i="5"/>
  <c r="L22" i="5"/>
  <c r="L33" i="5" s="1"/>
  <c r="N23" i="5"/>
  <c r="N34" i="5" s="1"/>
  <c r="M84" i="5"/>
  <c r="M86" i="5" s="1"/>
  <c r="M87" i="5" s="1"/>
  <c r="N84" i="5"/>
  <c r="N86" i="5" s="1"/>
  <c r="N87" i="5" s="1"/>
  <c r="N25" i="5"/>
  <c r="M22" i="5"/>
  <c r="M33" i="5" s="1"/>
  <c r="I25" i="5"/>
  <c r="M18" i="5"/>
  <c r="I23" i="5"/>
  <c r="I34" i="5" s="1"/>
  <c r="I18" i="5"/>
  <c r="L35" i="5" l="1"/>
  <c r="L26" i="5"/>
  <c r="L28" i="5" s="1"/>
  <c r="M26" i="5"/>
  <c r="N26" i="5"/>
  <c r="I35" i="5"/>
  <c r="I26" i="5"/>
  <c r="L88" i="5" l="1"/>
  <c r="L89" i="5" s="1"/>
  <c r="N88" i="5"/>
  <c r="N89" i="5" s="1"/>
  <c r="N28" i="5"/>
  <c r="M35" i="5"/>
  <c r="M88" i="5"/>
  <c r="M89" i="5" s="1"/>
  <c r="M28" i="5"/>
  <c r="N35" i="5"/>
  <c r="I43" i="4" l="1"/>
  <c r="L6" i="4"/>
  <c r="K6" i="4"/>
  <c r="K7" i="4" s="1"/>
  <c r="J6" i="4"/>
  <c r="I6" i="4"/>
  <c r="L38" i="4"/>
  <c r="L39" i="4" s="1"/>
  <c r="K38" i="4"/>
  <c r="K39" i="4" s="1"/>
  <c r="J38" i="4"/>
  <c r="J39" i="4" s="1"/>
  <c r="I38" i="4"/>
  <c r="I39" i="4" s="1"/>
  <c r="I41" i="4" s="1"/>
  <c r="H29" i="4"/>
  <c r="L27" i="4"/>
  <c r="K27" i="4"/>
  <c r="J27" i="4"/>
  <c r="L21" i="4"/>
  <c r="L23" i="4" s="1"/>
  <c r="J7" i="4"/>
  <c r="I7" i="4"/>
  <c r="D23" i="1"/>
  <c r="N34" i="1"/>
  <c r="I20" i="4" l="1"/>
  <c r="I19" i="4" s="1"/>
  <c r="I21" i="4"/>
  <c r="I23" i="4" s="1"/>
  <c r="K9" i="4"/>
  <c r="K12" i="4" s="1"/>
  <c r="K30" i="4" s="1"/>
  <c r="K31" i="4" s="1"/>
  <c r="K14" i="4"/>
  <c r="J41" i="4"/>
  <c r="J43" i="4" s="1"/>
  <c r="J53" i="4"/>
  <c r="J54" i="4" s="1"/>
  <c r="I44" i="4"/>
  <c r="I46" i="4" s="1"/>
  <c r="I49" i="4" s="1"/>
  <c r="I16" i="4"/>
  <c r="I18" i="4" s="1"/>
  <c r="I9" i="4"/>
  <c r="I12" i="4" s="1"/>
  <c r="K41" i="4"/>
  <c r="K43" i="4" s="1"/>
  <c r="K53" i="4"/>
  <c r="K54" i="4" s="1"/>
  <c r="J9" i="4"/>
  <c r="J12" i="4" s="1"/>
  <c r="J14" i="4"/>
  <c r="L53" i="4"/>
  <c r="L54" i="4" s="1"/>
  <c r="L56" i="4" s="1"/>
  <c r="L41" i="4"/>
  <c r="L43" i="4" s="1"/>
  <c r="L7" i="4"/>
  <c r="J20" i="4"/>
  <c r="J21" i="4"/>
  <c r="J23" i="4" s="1"/>
  <c r="K20" i="4"/>
  <c r="K21" i="4"/>
  <c r="K23" i="4" s="1"/>
  <c r="J31" i="4"/>
  <c r="L20" i="4"/>
  <c r="I24" i="4" l="1"/>
  <c r="K24" i="4"/>
  <c r="K19" i="4"/>
  <c r="L14" i="4"/>
  <c r="L9" i="4"/>
  <c r="L12" i="4" s="1"/>
  <c r="J55" i="4"/>
  <c r="J56" i="4"/>
  <c r="L24" i="4"/>
  <c r="L19" i="4"/>
  <c r="L44" i="4"/>
  <c r="L16" i="4"/>
  <c r="L18" i="4" s="1"/>
  <c r="K16" i="4"/>
  <c r="K18" i="4" s="1"/>
  <c r="J16" i="4"/>
  <c r="J18" i="4" s="1"/>
  <c r="J44" i="4"/>
  <c r="J24" i="4"/>
  <c r="J19" i="4"/>
  <c r="K56" i="4"/>
  <c r="K55" i="4"/>
  <c r="K44" i="4"/>
  <c r="K46" i="4"/>
  <c r="K49" i="4" s="1"/>
  <c r="L30" i="4" l="1"/>
  <c r="L31" i="4" s="1"/>
  <c r="O13" i="4"/>
  <c r="L46" i="4"/>
  <c r="L49" i="4" s="1"/>
  <c r="L25" i="4"/>
  <c r="I25" i="4"/>
  <c r="I33" i="4" s="1"/>
  <c r="J46" i="4"/>
  <c r="J49" i="4" s="1"/>
  <c r="K25" i="4"/>
  <c r="K33" i="4" s="1"/>
  <c r="J25" i="4"/>
  <c r="J33" i="4" s="1"/>
  <c r="J48" i="4" s="1"/>
  <c r="L33" i="4" l="1"/>
  <c r="L48" i="4" s="1"/>
  <c r="K50" i="4"/>
  <c r="K48" i="4"/>
  <c r="I50" i="4"/>
  <c r="I48" i="4"/>
  <c r="K34" i="4"/>
  <c r="I34" i="4"/>
  <c r="J50" i="4"/>
  <c r="J34" i="4"/>
  <c r="L50" i="4"/>
  <c r="L34" i="4"/>
  <c r="I27" i="2" l="1"/>
  <c r="J27" i="2" s="1"/>
  <c r="E3" i="1" l="1"/>
  <c r="D5" i="1" s="1"/>
  <c r="D14" i="1" l="1"/>
  <c r="D19" i="1"/>
  <c r="D17" i="1"/>
  <c r="D8" i="1"/>
  <c r="D6" i="1"/>
  <c r="D13" i="1"/>
  <c r="D10" i="1" l="1"/>
  <c r="D15" i="1"/>
  <c r="D22" i="1"/>
  <c r="D24" i="1" s="1"/>
  <c r="D11" i="1"/>
  <c r="D25" i="1" l="1"/>
  <c r="B33" i="1" s="1"/>
  <c r="B36" i="1"/>
</calcChain>
</file>

<file path=xl/comments1.xml><?xml version="1.0" encoding="utf-8"?>
<comments xmlns="http://schemas.openxmlformats.org/spreadsheetml/2006/main">
  <authors>
    <author>Andres Siirde</author>
  </authors>
  <commentList>
    <comment ref="A23" authorId="0" shapeId="0">
      <text>
        <r>
          <rPr>
            <b/>
            <sz val="8"/>
            <color indexed="81"/>
            <rFont val="Tahoma"/>
            <family val="2"/>
            <charset val="186"/>
          </rPr>
          <t>Andres Siirde:</t>
        </r>
        <r>
          <rPr>
            <sz val="8"/>
            <color indexed="81"/>
            <rFont val="Tahoma"/>
            <family val="2"/>
            <charset val="186"/>
          </rPr>
          <t xml:space="preserve">
EE näitab keskmist müüghinda 411,5 euri/tonn, samas on tuletustehingud</t>
        </r>
      </text>
    </comment>
  </commentList>
</comments>
</file>

<file path=xl/sharedStrings.xml><?xml version="1.0" encoding="utf-8"?>
<sst xmlns="http://schemas.openxmlformats.org/spreadsheetml/2006/main" count="419" uniqueCount="185">
  <si>
    <t>CAPEX</t>
  </si>
  <si>
    <t>õli energia 72%</t>
  </si>
  <si>
    <t>õlitoodang 1 miljon tonnist põlevkivist</t>
  </si>
  <si>
    <t>15%, 15aastaks</t>
  </si>
  <si>
    <t>euri</t>
  </si>
  <si>
    <t xml:space="preserve">otsene investeerin Petroter </t>
  </si>
  <si>
    <t>Põlevkivi kui tooraine, hind koos resurssitasudega  euri/tonn, Petroteri tarve 1 mln tonni (72% õlisse)</t>
  </si>
  <si>
    <t>Investeering prügilasse</t>
  </si>
  <si>
    <t>defenoleerimine (veepuhastus) (40% võtame õlile)</t>
  </si>
  <si>
    <t>reovee puhasti</t>
  </si>
  <si>
    <t>Kaks katel kokku 20 mln ((40% võtame õlile))</t>
  </si>
  <si>
    <t>Väävlipuhastus 2 NID kokku 20 mln (40% võtame õlile)</t>
  </si>
  <si>
    <t>Ahtme ((40% võtame õlile))</t>
  </si>
  <si>
    <t>turbiin</t>
  </si>
  <si>
    <t>Muud püsikulud (tööjõud) (arvutatud sotsiaalmaksu 2210 tuh järgi)</t>
  </si>
  <si>
    <t xml:space="preserve">Keskkonnamaksud (õhuheitmed kokku 2015 hindades (VKG 1789560 euri) </t>
  </si>
  <si>
    <t>CO2 puuduv osa</t>
  </si>
  <si>
    <t>KOKKU</t>
  </si>
  <si>
    <t>Kulutused</t>
  </si>
  <si>
    <t>TULU</t>
  </si>
  <si>
    <t>1 Terajoule [TJ]   =   0.27777777777778 Gigawatt hour [GWh]</t>
  </si>
  <si>
    <t>Eesti elektrijaam, Elektri tootmine põlevkivist keevkihtkateldes, 2011</t>
  </si>
  <si>
    <t>Eesti elektrijaam, Elektri tootmine põlevkivist tolmkateldes, 2011</t>
  </si>
  <si>
    <t>Põlevkivi</t>
  </si>
  <si>
    <t>Parameeter</t>
  </si>
  <si>
    <t>Kasutatud ühikud</t>
  </si>
  <si>
    <t>Väärtus</t>
  </si>
  <si>
    <t>Tarbitud kütuse kogus</t>
  </si>
  <si>
    <t>t</t>
  </si>
  <si>
    <t>Kütuse alumine kütteväärtus</t>
  </si>
  <si>
    <t>TJ/t</t>
  </si>
  <si>
    <t>Tarbitud kütuseenergia</t>
  </si>
  <si>
    <t>TJ</t>
  </si>
  <si>
    <t>GWh</t>
  </si>
  <si>
    <t>Eriheide</t>
  </si>
  <si>
    <t>Oksüdatsioonitegur</t>
  </si>
  <si>
    <t>Põlevkiviõli</t>
  </si>
  <si>
    <t>Poolkoksgaas</t>
  </si>
  <si>
    <t>Kasutatud kütuseenergia kokku</t>
  </si>
  <si>
    <t>Põlevkivi suhteline kasutatud kütuseenergiast</t>
  </si>
  <si>
    <t>Väljastatud elektrienergia</t>
  </si>
  <si>
    <t xml:space="preserve"> GWh</t>
  </si>
  <si>
    <t>Põlevkivist toodetud arvestuslik elektrienergia kogus</t>
  </si>
  <si>
    <t>Keevkihtpõletusel Eesti elektrijaamastCO2/GWhe</t>
  </si>
  <si>
    <t>tCO2/GWhe</t>
  </si>
  <si>
    <t>Netokasutegur</t>
  </si>
  <si>
    <t>t CO2/TJ</t>
  </si>
  <si>
    <t>Fossiilne CO2</t>
  </si>
  <si>
    <t>t CO2</t>
  </si>
  <si>
    <t>Nm3</t>
  </si>
  <si>
    <t>TJ/Nm3</t>
  </si>
  <si>
    <t>MJ/m3</t>
  </si>
  <si>
    <t>gj</t>
  </si>
  <si>
    <r>
      <t xml:space="preserve">Ojamaa kaevandus, investeering </t>
    </r>
    <r>
      <rPr>
        <b/>
        <sz val="11"/>
        <color rgb="FFFF0000"/>
        <rFont val="Calibri"/>
        <family val="2"/>
        <charset val="186"/>
        <scheme val="minor"/>
      </rPr>
      <t>140 mln</t>
    </r>
    <r>
      <rPr>
        <sz val="11"/>
        <color theme="1"/>
        <rFont val="Calibri"/>
        <family val="2"/>
        <charset val="186"/>
        <scheme val="minor"/>
      </rPr>
      <t xml:space="preserve"> euri, 2,5 miljonit tonni aastas, (40% võtame õlile) (saldub põlevkivi hinnas, kus sisalduvad ka kaevandusmaksud</t>
    </r>
  </si>
  <si>
    <t>mitte arvestatud õlile</t>
  </si>
  <si>
    <t>mitte arvestatud õlile, investeering on põlevkivi hinnas</t>
  </si>
  <si>
    <t>15%, 15 aastat</t>
  </si>
  <si>
    <t>euri/tonni õlile</t>
  </si>
  <si>
    <t xml:space="preserve">capex </t>
  </si>
  <si>
    <t>muutuvkulu</t>
  </si>
  <si>
    <t>Püsikulu</t>
  </si>
  <si>
    <t>Müügitulu (411,5) euri /tonn</t>
  </si>
  <si>
    <t>iga tonnilt põlevkivilt tulu</t>
  </si>
  <si>
    <t>euri/tonni põlevkivi kohta</t>
  </si>
  <si>
    <t>iga tonnilt põlevkivilt tulu (tulevikutehingutega) 452 eur/tonn</t>
  </si>
  <si>
    <t>Stsenaarium 5</t>
  </si>
  <si>
    <t>Eesti Energia Õlitööstus AS</t>
  </si>
  <si>
    <t>Tootmisseadmed</t>
  </si>
  <si>
    <r>
      <t xml:space="preserve">2 </t>
    </r>
    <r>
      <rPr>
        <sz val="11"/>
        <color rgb="FF000000"/>
        <rFont val="Symbol"/>
        <family val="1"/>
        <charset val="2"/>
      </rPr>
      <t>´</t>
    </r>
    <r>
      <rPr>
        <sz val="11"/>
        <color rgb="FF000000"/>
        <rFont val="Times New Roman"/>
        <family val="1"/>
        <charset val="186"/>
      </rPr>
      <t xml:space="preserve"> Enefit-140</t>
    </r>
  </si>
  <si>
    <r>
      <t xml:space="preserve">1 </t>
    </r>
    <r>
      <rPr>
        <sz val="11"/>
        <color rgb="FF000000"/>
        <rFont val="Symbol"/>
        <family val="1"/>
        <charset val="2"/>
      </rPr>
      <t>´</t>
    </r>
    <r>
      <rPr>
        <sz val="11"/>
        <color rgb="FF000000"/>
        <rFont val="Times New Roman"/>
        <family val="1"/>
        <charset val="186"/>
      </rPr>
      <t xml:space="preserve"> Enefit-280</t>
    </r>
  </si>
  <si>
    <r>
      <t xml:space="preserve">2 </t>
    </r>
    <r>
      <rPr>
        <sz val="11"/>
        <color rgb="FF000000"/>
        <rFont val="Symbol"/>
        <family val="1"/>
        <charset val="2"/>
      </rPr>
      <t>´</t>
    </r>
    <r>
      <rPr>
        <sz val="11"/>
        <color rgb="FF000000"/>
        <rFont val="Times New Roman"/>
        <family val="1"/>
        <charset val="186"/>
      </rPr>
      <t xml:space="preserve"> Enefit-280</t>
    </r>
  </si>
  <si>
    <r>
      <t xml:space="preserve">6 </t>
    </r>
    <r>
      <rPr>
        <sz val="11"/>
        <color rgb="FF000000"/>
        <rFont val="Symbol"/>
        <family val="1"/>
        <charset val="2"/>
      </rPr>
      <t>´</t>
    </r>
    <r>
      <rPr>
        <sz val="11"/>
        <color rgb="FF000000"/>
        <rFont val="Times New Roman"/>
        <family val="1"/>
        <charset val="186"/>
      </rPr>
      <t xml:space="preserve"> Enefit-280</t>
    </r>
  </si>
  <si>
    <r>
      <t xml:space="preserve">8 </t>
    </r>
    <r>
      <rPr>
        <sz val="11"/>
        <color rgb="FF000000"/>
        <rFont val="Symbol"/>
        <family val="1"/>
        <charset val="2"/>
      </rPr>
      <t>´</t>
    </r>
    <r>
      <rPr>
        <sz val="11"/>
        <color rgb="FF000000"/>
        <rFont val="Times New Roman"/>
        <family val="1"/>
        <charset val="186"/>
      </rPr>
      <t xml:space="preserve"> Enefit-280</t>
    </r>
  </si>
  <si>
    <r>
      <t>Gaasi teke, mln Nm</t>
    </r>
    <r>
      <rPr>
        <vertAlign val="superscript"/>
        <sz val="11"/>
        <color rgb="FF000000"/>
        <rFont val="Times New Roman"/>
        <family val="1"/>
        <charset val="186"/>
      </rPr>
      <t>3</t>
    </r>
  </si>
  <si>
    <t>Gaasi  TJ</t>
  </si>
  <si>
    <t>TJ/nm3</t>
  </si>
  <si>
    <t>VKG Oil AS</t>
  </si>
  <si>
    <t>Gaasi MWh</t>
  </si>
  <si>
    <r>
      <t xml:space="preserve">2 </t>
    </r>
    <r>
      <rPr>
        <sz val="11"/>
        <color rgb="FF000000"/>
        <rFont val="Symbol"/>
        <family val="1"/>
        <charset val="2"/>
      </rPr>
      <t>´</t>
    </r>
    <r>
      <rPr>
        <sz val="11"/>
        <color rgb="FF000000"/>
        <rFont val="Times New Roman"/>
        <family val="1"/>
        <charset val="186"/>
      </rPr>
      <t xml:space="preserve"> Petroter</t>
    </r>
  </si>
  <si>
    <r>
      <t xml:space="preserve">4 </t>
    </r>
    <r>
      <rPr>
        <sz val="11"/>
        <color rgb="FF000000"/>
        <rFont val="Symbol"/>
        <family val="1"/>
        <charset val="2"/>
      </rPr>
      <t>´</t>
    </r>
    <r>
      <rPr>
        <sz val="11"/>
        <color rgb="FF000000"/>
        <rFont val="Times New Roman"/>
        <family val="1"/>
        <charset val="186"/>
      </rPr>
      <t xml:space="preserve"> Petroter</t>
    </r>
  </si>
  <si>
    <t>MW</t>
  </si>
  <si>
    <r>
      <t>Kokku gaas, mln Nm</t>
    </r>
    <r>
      <rPr>
        <vertAlign val="superscript"/>
        <sz val="11"/>
        <color rgb="FF000000"/>
        <rFont val="Times New Roman"/>
        <family val="1"/>
        <charset val="186"/>
      </rPr>
      <t>3</t>
    </r>
  </si>
  <si>
    <t>8 ja 11 plokk</t>
  </si>
  <si>
    <t>euri/MJ</t>
  </si>
  <si>
    <t>auvere</t>
  </si>
  <si>
    <t>euri gJ</t>
  </si>
  <si>
    <t>Puudujaääv  MW (gaas termiline)</t>
  </si>
  <si>
    <t>gaasi kuupmeetri hind</t>
  </si>
  <si>
    <t>1000 kuupmeetri hind</t>
  </si>
  <si>
    <t>Gaasi MWh energia uute g-plokki</t>
  </si>
  <si>
    <t>elektri müük xeur/MWh</t>
  </si>
  <si>
    <t>gaasi hind EURI KOKKU</t>
  </si>
  <si>
    <t>co2 tonni (56,1t CO2/TJ)</t>
  </si>
  <si>
    <t xml:space="preserve">CO2 hind  </t>
  </si>
  <si>
    <t>20 euri/tonn  EURI kokku (24,75 IEA)</t>
  </si>
  <si>
    <t>KULUD enne CAPEX</t>
  </si>
  <si>
    <t>TULU ENNE CAPEXI</t>
  </si>
  <si>
    <t>eurudes</t>
  </si>
  <si>
    <t>10% 40 aastat</t>
  </si>
  <si>
    <t>investeerida MW</t>
  </si>
  <si>
    <t>TULU pärast CAPEX it</t>
  </si>
  <si>
    <t>tulu euri/MWh</t>
  </si>
  <si>
    <t>kulutatud põlevkivi tonni</t>
  </si>
  <si>
    <t>2x enefit 140</t>
  </si>
  <si>
    <t>x enefit 280</t>
  </si>
  <si>
    <t>Kokku</t>
  </si>
  <si>
    <t>õli toodetud 11,2456% tonni</t>
  </si>
  <si>
    <t>õli tootmine (375 euri/tonn</t>
  </si>
  <si>
    <t>Kasum õlist</t>
  </si>
  <si>
    <t>elektritulu/õlitulu</t>
  </si>
  <si>
    <t>kiviõli keemia</t>
  </si>
  <si>
    <t>Petroter ca kivi kauba</t>
  </si>
  <si>
    <t>kokku kivi kauba</t>
  </si>
  <si>
    <t>geoloog</t>
  </si>
  <si>
    <t>elekter</t>
  </si>
  <si>
    <t>7183 tundi (82% aastastööaega)</t>
  </si>
  <si>
    <t>35% kasutegur põlevkiviga koos, -40% toodetud elekter MWh</t>
  </si>
  <si>
    <t xml:space="preserve"> müügitulu  </t>
  </si>
  <si>
    <t>euri 100 MW  kohta)</t>
  </si>
  <si>
    <t>10%,20 aastat</t>
  </si>
  <si>
    <t>õli müügitulu (452 eur/tonn)</t>
  </si>
  <si>
    <t>Energeetiline põlevkivi</t>
  </si>
  <si>
    <t>GJ/tonn</t>
  </si>
  <si>
    <t>MWh/tonn</t>
  </si>
  <si>
    <t>Kasutegur</t>
  </si>
  <si>
    <t>Eesti</t>
  </si>
  <si>
    <t>G8</t>
  </si>
  <si>
    <t>CFB</t>
  </si>
  <si>
    <t>Balti</t>
  </si>
  <si>
    <t>G11</t>
  </si>
  <si>
    <t>Auvere</t>
  </si>
  <si>
    <t>Instaleeritud võimsus (MW)</t>
  </si>
  <si>
    <t>Aastane võime elektrit toota (TWh)</t>
  </si>
  <si>
    <t>Võime põletada põlevkivi aastas (mln tonni)</t>
  </si>
  <si>
    <t>G</t>
  </si>
  <si>
    <t>Aastas, Võime põletada põlevkivi aastas (mln tonni)</t>
  </si>
  <si>
    <t>geoloogiline , Võime põletada põlevkivi aastas (mln tonni)</t>
  </si>
  <si>
    <t>Võime põletada põlevkivi aastas (TJ)</t>
  </si>
  <si>
    <t>Aastas Võime põletada põlevkivi aastas (TJ)</t>
  </si>
  <si>
    <t>kütteväärtus</t>
  </si>
  <si>
    <t>VKG KIVITERID</t>
  </si>
  <si>
    <t>Petroter I</t>
  </si>
  <si>
    <t>Petroter II</t>
  </si>
  <si>
    <t>Petroter III</t>
  </si>
  <si>
    <t>Petroter IV</t>
  </si>
  <si>
    <t>Enefit 140</t>
  </si>
  <si>
    <t>Enefit 280 I</t>
  </si>
  <si>
    <t>Enefit 280 II</t>
  </si>
  <si>
    <t>Enefit 280 III</t>
  </si>
  <si>
    <t>Enefit 280IV</t>
  </si>
  <si>
    <t>Enefit 280 V</t>
  </si>
  <si>
    <t>Enefit 280 VI</t>
  </si>
  <si>
    <t>Enefit 280 VII</t>
  </si>
  <si>
    <t>Enefit 280 VIII</t>
  </si>
  <si>
    <t>2x Enefit 280 iX X</t>
  </si>
  <si>
    <t>Kiviõli kiviter</t>
  </si>
  <si>
    <t>TSK -500</t>
  </si>
  <si>
    <t xml:space="preserve"> stsenaarium 15 miljonit </t>
  </si>
  <si>
    <t xml:space="preserve"> stsenaarium 20 miljonit </t>
  </si>
  <si>
    <t xml:space="preserve"> stsenaarium 25 miljonit </t>
  </si>
  <si>
    <t>Õlitootmis seade</t>
  </si>
  <si>
    <t>aastane kaubapõlevkivi vajadus TJ</t>
  </si>
  <si>
    <t>VKG Kiviterid</t>
  </si>
  <si>
    <t>Petroterr iV</t>
  </si>
  <si>
    <t>Enefit  280 VIII</t>
  </si>
  <si>
    <t>Kokku TJ</t>
  </si>
  <si>
    <t>Põlevkivi vajadus tuh tonni kütteväärtusel  8,3 (kaubapõlevkivi) õlitootmiseks</t>
  </si>
  <si>
    <t>geoloogiline varu vajadus tuh. Tonni õlitootmiseks</t>
  </si>
  <si>
    <t>Kokku elektri ja õlitootmiseks kaubapõlevkivi tuh. tonni</t>
  </si>
  <si>
    <t>Kokku elektri ja õlitootmiseksgeoloogilist varu tuh. tonni</t>
  </si>
  <si>
    <t>gaas tuh m3</t>
  </si>
  <si>
    <t>MJ/tuh m3</t>
  </si>
  <si>
    <t>gaas MWh, TJ</t>
  </si>
  <si>
    <t>õlitoodang</t>
  </si>
  <si>
    <t>kulu toodangule</t>
  </si>
  <si>
    <t>80 mln</t>
  </si>
  <si>
    <t>240 mln</t>
  </si>
  <si>
    <t>kulud tulud (tinglik) õlist</t>
  </si>
  <si>
    <t>kulud tulud (tinglik) elektrist</t>
  </si>
  <si>
    <t>kulud tulud (tinglik) muud</t>
  </si>
  <si>
    <t>15 miljoni</t>
  </si>
  <si>
    <t>20 miljoni</t>
  </si>
  <si>
    <t>25 miljonit</t>
  </si>
  <si>
    <t>õli eur/tonn kivi kohta</t>
  </si>
  <si>
    <t>gasi elekter/tonni kivi kohta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</si>
</sst>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€&quot;;[Red]\-#,##0.00\ &quot;€&quot;"/>
    <numFmt numFmtId="165" formatCode="#,##0.0000\ &quot;€&quot;;[Red]\-#,##0.0000\ &quot;€&quot;"/>
    <numFmt numFmtId="166" formatCode="#,##0_ ;[Red]\-#,##0\ "/>
    <numFmt numFmtId="167" formatCode="0.000"/>
    <numFmt numFmtId="168" formatCode="#,##0.0"/>
  </numFmts>
  <fonts count="26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1"/>
      <color rgb="FFC00000"/>
      <name val="Calibri"/>
      <family val="2"/>
      <charset val="186"/>
      <scheme val="minor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Calibri"/>
      <family val="2"/>
      <charset val="186"/>
    </font>
    <font>
      <b/>
      <sz val="11"/>
      <color rgb="FF000000"/>
      <name val="Calibri"/>
      <family val="2"/>
      <charset val="186"/>
    </font>
    <font>
      <sz val="11"/>
      <color rgb="FFFF0000"/>
      <name val="Calibri"/>
      <family val="2"/>
      <charset val="186"/>
    </font>
    <font>
      <sz val="11"/>
      <name val="Calibri"/>
      <family val="2"/>
      <charset val="186"/>
    </font>
    <font>
      <sz val="8"/>
      <color indexed="81"/>
      <name val="Tahoma"/>
      <family val="2"/>
      <charset val="186"/>
    </font>
    <font>
      <b/>
      <sz val="8"/>
      <color indexed="81"/>
      <name val="Tahoma"/>
      <family val="2"/>
      <charset val="186"/>
    </font>
    <font>
      <b/>
      <sz val="12"/>
      <color rgb="FF000000"/>
      <name val="Times New Roman"/>
      <family val="1"/>
      <charset val="186"/>
    </font>
    <font>
      <sz val="11"/>
      <color rgb="FF000000"/>
      <name val="Symbol"/>
      <family val="1"/>
      <charset val="2"/>
    </font>
    <font>
      <vertAlign val="superscript"/>
      <sz val="11"/>
      <color rgb="FF000000"/>
      <name val="Times New Roman"/>
      <family val="1"/>
      <charset val="186"/>
    </font>
    <font>
      <sz val="11"/>
      <color rgb="FF000000"/>
      <name val="Arial"/>
      <family val="2"/>
      <charset val="186"/>
    </font>
    <font>
      <sz val="8"/>
      <color rgb="FF000000"/>
      <name val="Calibri"/>
      <family val="2"/>
      <charset val="186"/>
    </font>
    <font>
      <b/>
      <sz val="8"/>
      <color rgb="FF000000"/>
      <name val="Calibri"/>
      <family val="2"/>
      <charset val="186"/>
    </font>
    <font>
      <b/>
      <sz val="12"/>
      <color rgb="FF000000"/>
      <name val="Calibri"/>
      <family val="2"/>
      <charset val="186"/>
    </font>
    <font>
      <i/>
      <sz val="9"/>
      <color rgb="FF000000"/>
      <name val="Calibri"/>
      <family val="2"/>
      <charset val="186"/>
    </font>
    <font>
      <b/>
      <i/>
      <sz val="9"/>
      <color rgb="FF000000"/>
      <name val="Calibri"/>
      <family val="2"/>
      <charset val="186"/>
    </font>
    <font>
      <b/>
      <sz val="16"/>
      <color rgb="FF16365C"/>
      <name val="Calibri"/>
      <family val="2"/>
      <charset val="186"/>
    </font>
    <font>
      <b/>
      <sz val="16"/>
      <color rgb="FF000000"/>
      <name val="Calibri"/>
      <family val="2"/>
      <charset val="186"/>
    </font>
    <font>
      <sz val="16"/>
      <color rgb="FF000000"/>
      <name val="Calibri"/>
      <family val="2"/>
      <charset val="186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2" borderId="1" xfId="0" applyFill="1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165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wrapText="1"/>
    </xf>
    <xf numFmtId="3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0" xfId="0" applyFont="1" applyFill="1" applyBorder="1"/>
    <xf numFmtId="3" fontId="8" fillId="0" borderId="0" xfId="0" applyNumberFormat="1" applyFont="1" applyFill="1" applyBorder="1"/>
    <xf numFmtId="0" fontId="9" fillId="0" borderId="0" xfId="0" applyFont="1" applyFill="1" applyBorder="1"/>
    <xf numFmtId="0" fontId="4" fillId="0" borderId="1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justify" vertical="center" wrapText="1"/>
    </xf>
    <xf numFmtId="3" fontId="4" fillId="4" borderId="1" xfId="0" applyNumberFormat="1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vertical="center" wrapText="1"/>
    </xf>
    <xf numFmtId="0" fontId="5" fillId="0" borderId="0" xfId="0" applyFont="1" applyFill="1" applyBorder="1"/>
    <xf numFmtId="0" fontId="4" fillId="4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justify" vertical="center" wrapText="1"/>
    </xf>
    <xf numFmtId="3" fontId="4" fillId="4" borderId="3" xfId="0" applyNumberFormat="1" applyFont="1" applyFill="1" applyBorder="1" applyAlignment="1">
      <alignment horizontal="justify" vertical="center" wrapText="1"/>
    </xf>
    <xf numFmtId="0" fontId="4" fillId="4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8" fillId="0" borderId="1" xfId="0" applyFont="1" applyFill="1" applyBorder="1"/>
    <xf numFmtId="0" fontId="10" fillId="0" borderId="1" xfId="0" applyFont="1" applyFill="1" applyBorder="1"/>
    <xf numFmtId="0" fontId="11" fillId="0" borderId="1" xfId="0" applyFont="1" applyFill="1" applyBorder="1"/>
    <xf numFmtId="0" fontId="9" fillId="5" borderId="1" xfId="0" applyFont="1" applyFill="1" applyBorder="1" applyAlignment="1">
      <alignment wrapText="1"/>
    </xf>
    <xf numFmtId="0" fontId="9" fillId="5" borderId="1" xfId="0" applyFont="1" applyFill="1" applyBorder="1"/>
    <xf numFmtId="0" fontId="8" fillId="0" borderId="4" xfId="0" applyFont="1" applyFill="1" applyBorder="1"/>
    <xf numFmtId="0" fontId="8" fillId="0" borderId="5" xfId="0" applyFont="1" applyFill="1" applyBorder="1"/>
    <xf numFmtId="0" fontId="8" fillId="0" borderId="6" xfId="0" applyFont="1" applyFill="1" applyBorder="1"/>
    <xf numFmtId="40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14" fillId="0" borderId="0" xfId="0" applyFont="1" applyFill="1" applyBorder="1" applyAlignment="1">
      <alignment horizontal="justify" vertical="center"/>
    </xf>
    <xf numFmtId="0" fontId="4" fillId="0" borderId="7" xfId="0" applyFont="1" applyFill="1" applyBorder="1" applyAlignment="1">
      <alignment horizontal="justify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center"/>
    </xf>
    <xf numFmtId="0" fontId="17" fillId="0" borderId="0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8" fillId="5" borderId="1" xfId="0" applyFont="1" applyFill="1" applyBorder="1"/>
    <xf numFmtId="3" fontId="8" fillId="0" borderId="1" xfId="0" applyNumberFormat="1" applyFont="1" applyFill="1" applyBorder="1"/>
    <xf numFmtId="3" fontId="8" fillId="5" borderId="1" xfId="0" applyNumberFormat="1" applyFont="1" applyFill="1" applyBorder="1"/>
    <xf numFmtId="164" fontId="8" fillId="0" borderId="1" xfId="0" applyNumberFormat="1" applyFont="1" applyFill="1" applyBorder="1"/>
    <xf numFmtId="0" fontId="8" fillId="0" borderId="1" xfId="0" applyFont="1" applyFill="1" applyBorder="1" applyAlignment="1">
      <alignment horizontal="center" wrapText="1"/>
    </xf>
    <xf numFmtId="0" fontId="8" fillId="6" borderId="0" xfId="0" applyFont="1" applyFill="1" applyBorder="1"/>
    <xf numFmtId="0" fontId="18" fillId="0" borderId="0" xfId="0" applyFont="1" applyFill="1" applyBorder="1"/>
    <xf numFmtId="2" fontId="18" fillId="0" borderId="0" xfId="0" applyNumberFormat="1" applyFont="1" applyFill="1" applyBorder="1"/>
    <xf numFmtId="0" fontId="18" fillId="0" borderId="16" xfId="0" applyFont="1" applyFill="1" applyBorder="1"/>
    <xf numFmtId="0" fontId="19" fillId="0" borderId="1" xfId="0" applyFont="1" applyFill="1" applyBorder="1"/>
    <xf numFmtId="0" fontId="19" fillId="7" borderId="1" xfId="0" applyFont="1" applyFill="1" applyBorder="1"/>
    <xf numFmtId="0" fontId="19" fillId="5" borderId="1" xfId="0" applyFont="1" applyFill="1" applyBorder="1"/>
    <xf numFmtId="0" fontId="19" fillId="8" borderId="1" xfId="0" applyFont="1" applyFill="1" applyBorder="1"/>
    <xf numFmtId="9" fontId="18" fillId="0" borderId="0" xfId="0" applyNumberFormat="1" applyFont="1" applyFill="1" applyBorder="1"/>
    <xf numFmtId="0" fontId="18" fillId="0" borderId="1" xfId="0" applyFont="1" applyFill="1" applyBorder="1"/>
    <xf numFmtId="0" fontId="18" fillId="7" borderId="1" xfId="0" applyFont="1" applyFill="1" applyBorder="1"/>
    <xf numFmtId="0" fontId="18" fillId="5" borderId="1" xfId="0" applyFont="1" applyFill="1" applyBorder="1"/>
    <xf numFmtId="0" fontId="18" fillId="8" borderId="1" xfId="0" applyFont="1" applyFill="1" applyBorder="1"/>
    <xf numFmtId="0" fontId="18" fillId="5" borderId="0" xfId="0" applyFont="1" applyFill="1" applyBorder="1"/>
    <xf numFmtId="9" fontId="18" fillId="5" borderId="0" xfId="0" applyNumberFormat="1" applyFont="1" applyFill="1" applyBorder="1"/>
    <xf numFmtId="0" fontId="20" fillId="0" borderId="5" xfId="0" applyFont="1" applyFill="1" applyBorder="1"/>
    <xf numFmtId="0" fontId="19" fillId="0" borderId="5" xfId="0" applyFont="1" applyFill="1" applyBorder="1"/>
    <xf numFmtId="0" fontId="19" fillId="0" borderId="0" xfId="0" applyFont="1" applyFill="1" applyBorder="1"/>
    <xf numFmtId="0" fontId="19" fillId="7" borderId="0" xfId="0" applyFont="1" applyFill="1" applyBorder="1"/>
    <xf numFmtId="0" fontId="19" fillId="5" borderId="0" xfId="0" applyFont="1" applyFill="1" applyBorder="1"/>
    <xf numFmtId="0" fontId="19" fillId="8" borderId="0" xfId="0" applyFont="1" applyFill="1" applyBorder="1"/>
    <xf numFmtId="0" fontId="18" fillId="7" borderId="0" xfId="0" applyFont="1" applyFill="1" applyBorder="1"/>
    <xf numFmtId="0" fontId="18" fillId="8" borderId="0" xfId="0" applyFont="1" applyFill="1" applyBorder="1"/>
    <xf numFmtId="3" fontId="18" fillId="0" borderId="0" xfId="0" applyNumberFormat="1" applyFont="1" applyFill="1" applyBorder="1"/>
    <xf numFmtId="3" fontId="18" fillId="0" borderId="1" xfId="0" applyNumberFormat="1" applyFont="1" applyFill="1" applyBorder="1"/>
    <xf numFmtId="3" fontId="18" fillId="7" borderId="1" xfId="0" applyNumberFormat="1" applyFont="1" applyFill="1" applyBorder="1"/>
    <xf numFmtId="3" fontId="18" fillId="5" borderId="1" xfId="0" applyNumberFormat="1" applyFont="1" applyFill="1" applyBorder="1"/>
    <xf numFmtId="3" fontId="18" fillId="8" borderId="1" xfId="0" applyNumberFormat="1" applyFont="1" applyFill="1" applyBorder="1"/>
    <xf numFmtId="168" fontId="19" fillId="0" borderId="1" xfId="0" applyNumberFormat="1" applyFont="1" applyFill="1" applyBorder="1"/>
    <xf numFmtId="168" fontId="19" fillId="7" borderId="1" xfId="0" applyNumberFormat="1" applyFont="1" applyFill="1" applyBorder="1"/>
    <xf numFmtId="168" fontId="19" fillId="5" borderId="1" xfId="0" applyNumberFormat="1" applyFont="1" applyFill="1" applyBorder="1"/>
    <xf numFmtId="168" fontId="19" fillId="8" borderId="1" xfId="0" applyNumberFormat="1" applyFont="1" applyFill="1" applyBorder="1"/>
    <xf numFmtId="0" fontId="18" fillId="0" borderId="5" xfId="0" applyFont="1" applyFill="1" applyBorder="1"/>
    <xf numFmtId="2" fontId="18" fillId="0" borderId="1" xfId="0" applyNumberFormat="1" applyFont="1" applyFill="1" applyBorder="1"/>
    <xf numFmtId="2" fontId="18" fillId="7" borderId="1" xfId="0" applyNumberFormat="1" applyFont="1" applyFill="1" applyBorder="1"/>
    <xf numFmtId="2" fontId="18" fillId="5" borderId="1" xfId="0" applyNumberFormat="1" applyFont="1" applyFill="1" applyBorder="1"/>
    <xf numFmtId="2" fontId="18" fillId="8" borderId="1" xfId="0" applyNumberFormat="1" applyFont="1" applyFill="1" applyBorder="1"/>
    <xf numFmtId="2" fontId="19" fillId="0" borderId="1" xfId="0" applyNumberFormat="1" applyFont="1" applyFill="1" applyBorder="1"/>
    <xf numFmtId="0" fontId="20" fillId="0" borderId="0" xfId="0" applyFont="1" applyFill="1" applyBorder="1"/>
    <xf numFmtId="3" fontId="19" fillId="0" borderId="1" xfId="0" applyNumberFormat="1" applyFont="1" applyFill="1" applyBorder="1"/>
    <xf numFmtId="3" fontId="19" fillId="7" borderId="1" xfId="0" applyNumberFormat="1" applyFont="1" applyFill="1" applyBorder="1"/>
    <xf numFmtId="3" fontId="19" fillId="5" borderId="1" xfId="0" applyNumberFormat="1" applyFont="1" applyFill="1" applyBorder="1"/>
    <xf numFmtId="3" fontId="19" fillId="8" borderId="1" xfId="0" applyNumberFormat="1" applyFont="1" applyFill="1" applyBorder="1"/>
    <xf numFmtId="0" fontId="8" fillId="7" borderId="0" xfId="0" applyFont="1" applyFill="1" applyBorder="1"/>
    <xf numFmtId="0" fontId="8" fillId="8" borderId="0" xfId="0" applyFont="1" applyFill="1" applyBorder="1"/>
    <xf numFmtId="0" fontId="8" fillId="7" borderId="1" xfId="0" applyFont="1" applyFill="1" applyBorder="1"/>
    <xf numFmtId="0" fontId="8" fillId="8" borderId="1" xfId="0" applyFont="1" applyFill="1" applyBorder="1"/>
    <xf numFmtId="0" fontId="21" fillId="0" borderId="0" xfId="0" applyFont="1" applyFill="1" applyBorder="1"/>
    <xf numFmtId="0" fontId="22" fillId="0" borderId="0" xfId="0" applyFont="1" applyFill="1" applyBorder="1"/>
    <xf numFmtId="2" fontId="22" fillId="0" borderId="0" xfId="0" applyNumberFormat="1" applyFont="1" applyFill="1" applyBorder="1"/>
    <xf numFmtId="0" fontId="8" fillId="10" borderId="1" xfId="0" applyFont="1" applyFill="1" applyBorder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/>
    <xf numFmtId="2" fontId="9" fillId="0" borderId="1" xfId="0" applyNumberFormat="1" applyFont="1" applyFill="1" applyBorder="1"/>
    <xf numFmtId="2" fontId="8" fillId="0" borderId="0" xfId="0" applyNumberFormat="1" applyFont="1" applyFill="1" applyBorder="1"/>
    <xf numFmtId="0" fontId="8" fillId="0" borderId="0" xfId="0" quotePrefix="1" applyFont="1" applyFill="1" applyBorder="1"/>
    <xf numFmtId="0" fontId="8" fillId="9" borderId="1" xfId="0" applyFont="1" applyFill="1" applyBorder="1"/>
    <xf numFmtId="9" fontId="8" fillId="0" borderId="0" xfId="0" applyNumberFormat="1" applyFont="1" applyFill="1" applyBorder="1"/>
    <xf numFmtId="2" fontId="24" fillId="7" borderId="1" xfId="0" applyNumberFormat="1" applyFont="1" applyFill="1" applyBorder="1"/>
    <xf numFmtId="2" fontId="24" fillId="5" borderId="1" xfId="0" applyNumberFormat="1" applyFont="1" applyFill="1" applyBorder="1"/>
    <xf numFmtId="2" fontId="24" fillId="8" borderId="1" xfId="0" applyNumberFormat="1" applyFont="1" applyFill="1" applyBorder="1"/>
    <xf numFmtId="2" fontId="19" fillId="0" borderId="4" xfId="0" applyNumberFormat="1" applyFont="1" applyFill="1" applyBorder="1"/>
    <xf numFmtId="0" fontId="25" fillId="7" borderId="1" xfId="0" applyFont="1" applyFill="1" applyBorder="1"/>
    <xf numFmtId="0" fontId="25" fillId="5" borderId="1" xfId="0" applyFont="1" applyFill="1" applyBorder="1"/>
    <xf numFmtId="0" fontId="25" fillId="8" borderId="1" xfId="0" applyFont="1" applyFill="1" applyBorder="1"/>
    <xf numFmtId="0" fontId="9" fillId="11" borderId="1" xfId="0" applyFont="1" applyFill="1" applyBorder="1" applyAlignment="1">
      <alignment horizontal="center" wrapText="1"/>
    </xf>
    <xf numFmtId="0" fontId="9" fillId="11" borderId="1" xfId="0" applyFont="1" applyFill="1" applyBorder="1"/>
    <xf numFmtId="2" fontId="9" fillId="11" borderId="1" xfId="0" applyNumberFormat="1" applyFont="1" applyFill="1" applyBorder="1"/>
    <xf numFmtId="0" fontId="9" fillId="11" borderId="1" xfId="0" applyFont="1" applyFill="1" applyBorder="1" applyAlignment="1">
      <alignment wrapText="1"/>
    </xf>
    <xf numFmtId="2" fontId="23" fillId="11" borderId="1" xfId="0" applyNumberFormat="1" applyFont="1" applyFill="1" applyBorder="1"/>
    <xf numFmtId="0" fontId="8" fillId="11" borderId="1" xfId="0" applyFont="1" applyFill="1" applyBorder="1"/>
    <xf numFmtId="0" fontId="23" fillId="11" borderId="1" xfId="0" applyFont="1" applyFill="1" applyBorder="1"/>
    <xf numFmtId="3" fontId="8" fillId="11" borderId="0" xfId="0" applyNumberFormat="1" applyFont="1" applyFill="1" applyBorder="1"/>
    <xf numFmtId="0" fontId="8" fillId="11" borderId="0" xfId="0" applyFont="1" applyFill="1" applyBorder="1"/>
    <xf numFmtId="0" fontId="8" fillId="11" borderId="17" xfId="0" applyFont="1" applyFill="1" applyBorder="1"/>
    <xf numFmtId="167" fontId="8" fillId="11" borderId="0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8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13" xfId="0" applyFont="1" applyFill="1" applyBorder="1" applyAlignment="1">
      <alignment horizontal="justify" vertical="center"/>
    </xf>
    <xf numFmtId="0" fontId="4" fillId="0" borderId="15" xfId="0" applyFont="1" applyFill="1" applyBorder="1" applyAlignment="1">
      <alignment horizontal="justify"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4</xdr:row>
      <xdr:rowOff>0</xdr:rowOff>
    </xdr:from>
    <xdr:to>
      <xdr:col>12</xdr:col>
      <xdr:colOff>142875</xdr:colOff>
      <xdr:row>26</xdr:row>
      <xdr:rowOff>123826</xdr:rowOff>
    </xdr:to>
    <xdr:sp macro="" textlink="">
      <xdr:nvSpPr>
        <xdr:cNvPr id="2" name="TextBox 1"/>
        <xdr:cNvSpPr txBox="1"/>
      </xdr:nvSpPr>
      <xdr:spPr>
        <a:xfrm>
          <a:off x="6896100" y="1143000"/>
          <a:ext cx="4762500" cy="62198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spcBef>
              <a:spcPts val="0"/>
            </a:spcBef>
          </a:pPr>
          <a:r>
            <a:rPr lang="et-EE" sz="1100"/>
            <a:t>TSK kui uus investeering- aluseks on võetud Petroter :</a:t>
          </a:r>
        </a:p>
        <a:p>
          <a:pPr>
            <a:spcBef>
              <a:spcPts val="0"/>
            </a:spcBef>
          </a:pPr>
          <a:endParaRPr lang="et-EE" sz="1100"/>
        </a:p>
        <a:p>
          <a:pPr>
            <a:spcBef>
              <a:spcPts val="0"/>
            </a:spcBef>
          </a:pPr>
          <a:r>
            <a:rPr lang="et-EE" sz="1100"/>
            <a:t>* andmed suhteliselt avalikud</a:t>
          </a:r>
        </a:p>
        <a:p>
          <a:pPr>
            <a:spcBef>
              <a:spcPts val="0"/>
            </a:spcBef>
          </a:pPr>
          <a:endParaRPr lang="et-EE" sz="1100"/>
        </a:p>
        <a:p>
          <a:pPr>
            <a:spcBef>
              <a:spcPts val="0"/>
            </a:spcBef>
          </a:pPr>
          <a:r>
            <a:rPr lang="et-EE" sz="1100"/>
            <a:t>*seade töötab ja reaalsed ajaloolised väärtused olemas</a:t>
          </a:r>
        </a:p>
        <a:p>
          <a:pPr>
            <a:spcBef>
              <a:spcPts val="0"/>
            </a:spcBef>
          </a:pPr>
          <a:endParaRPr lang="et-EE" sz="1100"/>
        </a:p>
        <a:p>
          <a:pPr>
            <a:spcBef>
              <a:spcPts val="0"/>
            </a:spcBef>
          </a:pPr>
          <a:r>
            <a:rPr lang="et-EE" sz="1100"/>
            <a:t>* PWC poolt teostatud uuring- Väärtusahel põlevkiviõli tootmisel olemas. Tasub paralleelselt viidata, kuna </a:t>
          </a:r>
          <a:r>
            <a:rPr lang="et-EE" sz="1100" baseline="0"/>
            <a:t> arvestab nii otsesid ja kudseid tulu/kulusid ja VÄLJUND on riigitulu- (äriplaani on omaniku küsimus)</a:t>
          </a:r>
        </a:p>
        <a:p>
          <a:pPr>
            <a:spcBef>
              <a:spcPts val="0"/>
            </a:spcBef>
          </a:pPr>
          <a:endParaRPr lang="et-EE" sz="1100" baseline="0"/>
        </a:p>
        <a:p>
          <a:pPr>
            <a:spcBef>
              <a:spcPts val="0"/>
            </a:spcBef>
          </a:pPr>
          <a:r>
            <a:rPr lang="et-EE" sz="1100" baseline="0"/>
            <a:t>*Põhitoode õli- moodustab 72%  põlevkiviga sisseviidud energiast. 28% on aur/koks/poolkoksgaas. SEEGA , OSA INVESTEERINGUTEST JAOTAME   28/72 suhtega.  VKG puhul on EELIS- KOOSTOOTMINE JA ELEKTRIJAAMADE OLEMASOLU (AGA NEED ONGI AJALOOLISELT seotud õlitoomisega).</a:t>
          </a:r>
        </a:p>
        <a:p>
          <a:pPr>
            <a:spcBef>
              <a:spcPts val="0"/>
            </a:spcBef>
          </a:pPr>
          <a:r>
            <a:rPr lang="et-EE" sz="1100" baseline="0"/>
            <a:t>Osa nvesteeringud on võetud 40% Petroterile  (Petroter/Kiviter suhe)</a:t>
          </a:r>
        </a:p>
        <a:p>
          <a:pPr>
            <a:spcBef>
              <a:spcPts val="0"/>
            </a:spcBef>
          </a:pPr>
          <a:endParaRPr lang="et-EE" sz="1100" baseline="0"/>
        </a:p>
        <a:p>
          <a:pPr>
            <a:spcBef>
              <a:spcPts val="0"/>
            </a:spcBef>
          </a:pPr>
          <a:r>
            <a:rPr lang="et-EE" sz="1100" baseline="0"/>
            <a:t>* Keskkonnamaksud on 2015 aasta hindedes</a:t>
          </a:r>
        </a:p>
        <a:p>
          <a:pPr>
            <a:spcBef>
              <a:spcPts val="0"/>
            </a:spcBef>
          </a:pPr>
          <a:endParaRPr lang="et-EE" sz="1100" baseline="0"/>
        </a:p>
        <a:p>
          <a:pPr>
            <a:spcBef>
              <a:spcPts val="0"/>
            </a:spcBef>
          </a:pPr>
          <a:r>
            <a:rPr lang="et-EE" sz="1100" baseline="0"/>
            <a:t>*Põlevkiviõli peenkeemia ei ole TÜÜPILINE ja ISELOOMULIK toode. Ta on kui eraldi ärimudel. tootraine fenoolide eraldamisest selle edasisest käitlemisest.</a:t>
          </a:r>
        </a:p>
        <a:p>
          <a:pPr>
            <a:spcBef>
              <a:spcPts val="0"/>
            </a:spcBef>
          </a:pPr>
          <a:endParaRPr lang="et-EE" sz="1100" baseline="0"/>
        </a:p>
        <a:p>
          <a:pPr>
            <a:spcBef>
              <a:spcPts val="0"/>
            </a:spcBef>
          </a:pPr>
          <a:r>
            <a:rPr lang="et-EE" sz="1100" baseline="0"/>
            <a:t>*Poolkoksgaas/Petroteri aur = põlevkivi hind, alus Konkurentsiamet</a:t>
          </a:r>
        </a:p>
        <a:p>
          <a:pPr>
            <a:spcBef>
              <a:spcPts val="0"/>
            </a:spcBef>
          </a:pPr>
          <a:endParaRPr lang="et-EE" sz="1100" baseline="0"/>
        </a:p>
        <a:p>
          <a:pPr>
            <a:spcBef>
              <a:spcPts val="0"/>
            </a:spcBef>
          </a:pPr>
          <a:r>
            <a:rPr lang="et-EE" sz="1100" baseline="0"/>
            <a:t>*Hüpotees- Õlitootmine kui tootearendus OK- Landfill, Laenuandjad otustagu riski.</a:t>
          </a:r>
        </a:p>
        <a:p>
          <a:pPr>
            <a:spcBef>
              <a:spcPts val="0"/>
            </a:spcBef>
          </a:pPr>
          <a:endParaRPr lang="et-EE" sz="1100" baseline="0"/>
        </a:p>
        <a:p>
          <a:pPr>
            <a:spcBef>
              <a:spcPts val="0"/>
            </a:spcBef>
          </a:pPr>
          <a:r>
            <a:rPr lang="et-EE" sz="1100" baseline="0"/>
            <a:t>*Subjektiivne eraarvamus (protkolliväline)- Eesti energia mudel- mitte veel käivitunud, andmed projekt-eelarve tasandil, töötavad 2 TSK -d remontkuldega</a:t>
          </a:r>
        </a:p>
        <a:p>
          <a:pPr>
            <a:spcBef>
              <a:spcPts val="0"/>
            </a:spcBef>
          </a:pPr>
          <a:r>
            <a:rPr lang="et-EE" sz="1100" baseline="0"/>
            <a:t>Kiviõli- teostatud minimaalsed investeeringud- päris selge kav  puudu. VKG kui tootearendaja-laiendaja, investeerinud riskipiirini. </a:t>
          </a:r>
        </a:p>
        <a:p>
          <a:pPr>
            <a:spcBef>
              <a:spcPts val="0"/>
            </a:spcBef>
          </a:pPr>
          <a:endParaRPr lang="et-EE" sz="1100" baseline="0"/>
        </a:p>
        <a:p>
          <a:pPr>
            <a:spcBef>
              <a:spcPts val="0"/>
            </a:spcBef>
          </a:pPr>
          <a:r>
            <a:rPr lang="et-EE" sz="1100" baseline="0"/>
            <a:t>ETEEPANEK- Põlevkiviõli tootmiskulu jääb (peab jäma) vahemikku 350-380 eur/tonn õlile  ja see on teostatav. Kui X ettevõte ületab selle, on  juhtimis/otsustus/ajastus/asendi /eelprojekti  teostatvusest  tulenev "viga"</a:t>
          </a:r>
        </a:p>
        <a:p>
          <a:pPr>
            <a:spcBef>
              <a:spcPts val="0"/>
            </a:spcBef>
          </a:pPr>
          <a:endParaRPr lang="et-EE" sz="1100" baseline="0"/>
        </a:p>
        <a:p>
          <a:pPr>
            <a:spcBef>
              <a:spcPts val="0"/>
            </a:spcBef>
          </a:pPr>
          <a:endParaRPr lang="et-EE" sz="1100" baseline="0"/>
        </a:p>
        <a:p>
          <a:pPr>
            <a:spcBef>
              <a:spcPts val="0"/>
            </a:spcBef>
          </a:pPr>
          <a:endParaRPr lang="et-EE" sz="1100" baseline="0"/>
        </a:p>
        <a:p>
          <a:pPr>
            <a:spcBef>
              <a:spcPts val="0"/>
            </a:spcBef>
          </a:pPr>
          <a:endParaRPr lang="et-EE" sz="1100" baseline="0"/>
        </a:p>
        <a:p>
          <a:pPr>
            <a:spcBef>
              <a:spcPts val="0"/>
            </a:spcBef>
          </a:pPr>
          <a:endParaRPr lang="et-EE" sz="1100" baseline="0"/>
        </a:p>
        <a:p>
          <a:pPr>
            <a:spcBef>
              <a:spcPts val="0"/>
            </a:spcBef>
          </a:pPr>
          <a:endParaRPr lang="et-EE" sz="1100" baseline="0"/>
        </a:p>
        <a:p>
          <a:pPr>
            <a:spcBef>
              <a:spcPts val="0"/>
            </a:spcBef>
          </a:pPr>
          <a:endParaRPr lang="et-EE" sz="1100"/>
        </a:p>
        <a:p>
          <a:endParaRPr lang="et-EE" sz="1100"/>
        </a:p>
      </xdr:txBody>
    </xdr:sp>
    <xdr:clientData/>
  </xdr:twoCellAnchor>
  <xdr:twoCellAnchor editAs="oneCell">
    <xdr:from>
      <xdr:col>5</xdr:col>
      <xdr:colOff>95250</xdr:colOff>
      <xdr:row>19</xdr:row>
      <xdr:rowOff>180975</xdr:rowOff>
    </xdr:from>
    <xdr:to>
      <xdr:col>13</xdr:col>
      <xdr:colOff>417195</xdr:colOff>
      <xdr:row>35</xdr:row>
      <xdr:rowOff>179705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81800" y="7038975"/>
          <a:ext cx="5760720" cy="32372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514350</xdr:colOff>
      <xdr:row>7</xdr:row>
      <xdr:rowOff>47625</xdr:rowOff>
    </xdr:from>
    <xdr:ext cx="4366895" cy="3297555"/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381125"/>
          <a:ext cx="4366895" cy="329755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63</xdr:row>
      <xdr:rowOff>0</xdr:rowOff>
    </xdr:from>
    <xdr:to>
      <xdr:col>5</xdr:col>
      <xdr:colOff>771525</xdr:colOff>
      <xdr:row>76</xdr:row>
      <xdr:rowOff>1</xdr:rowOff>
    </xdr:to>
    <xdr:sp macro="" textlink="">
      <xdr:nvSpPr>
        <xdr:cNvPr id="2" name="TextBox 1"/>
        <xdr:cNvSpPr txBox="1"/>
      </xdr:nvSpPr>
      <xdr:spPr>
        <a:xfrm>
          <a:off x="600075" y="26727150"/>
          <a:ext cx="4543425" cy="2476501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TSK- Narvas on kõige rohkem kasutanud kivi 2010 aastal 1747/2=873 tonni. Võtan neile kasutusjaks 75% ja saan siis 920 kt aastas ühe TSK 140 kohta. Petroteri kasutusaeg on aastas 82%, siis saan põlevkivikoguse 1005 kt.  Enefit 280 lihtsalt kaks korda rohkem, ehk 2010kt. Kütteväärtus ehk 8,3 MJ/ kg kohta. VKG kiviteride kütteväärtus 12,5 MJ/kg ja aastas kütuse kulu selle vastavalt 1695 kt.  Kiviõli 450 kt 9,0 MJ/kg põlevkivi kiviteride kohta, ja ehk lisaks 150 kt TSK 500 kohta, ehk kokku 500 kt kivi? See oleks kasutatavate seadmete + plaanitavate seadmete võimalus kivi tarbida?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"/>
  <sheetViews>
    <sheetView workbookViewId="0">
      <selection activeCell="C36" sqref="C36"/>
    </sheetView>
  </sheetViews>
  <sheetFormatPr defaultRowHeight="14.4" x14ac:dyDescent="0.3"/>
  <cols>
    <col min="1" max="1" width="41.6640625" customWidth="1"/>
    <col min="2" max="2" width="18.88671875" customWidth="1"/>
    <col min="3" max="3" width="14.109375" customWidth="1"/>
    <col min="4" max="4" width="16.44140625" customWidth="1"/>
    <col min="5" max="5" width="14" bestFit="1" customWidth="1"/>
    <col min="6" max="6" width="17.5546875" customWidth="1"/>
  </cols>
  <sheetData>
    <row r="1" spans="1:6" x14ac:dyDescent="0.3">
      <c r="A1" s="1" t="s">
        <v>0</v>
      </c>
      <c r="B1" s="2"/>
      <c r="C1" s="3"/>
      <c r="D1" s="3"/>
      <c r="E1" s="3"/>
      <c r="F1" s="3"/>
    </row>
    <row r="2" spans="1:6" ht="28.8" x14ac:dyDescent="0.3">
      <c r="A2" s="1"/>
      <c r="B2" s="4"/>
      <c r="C2" s="5" t="s">
        <v>1</v>
      </c>
      <c r="D2" s="6" t="s">
        <v>57</v>
      </c>
      <c r="E2" s="5" t="s">
        <v>56</v>
      </c>
      <c r="F2" s="6" t="s">
        <v>2</v>
      </c>
    </row>
    <row r="3" spans="1:6" x14ac:dyDescent="0.3">
      <c r="A3" s="1" t="s">
        <v>3</v>
      </c>
      <c r="B3" s="4" t="s">
        <v>4</v>
      </c>
      <c r="C3" s="5"/>
      <c r="D3" s="5"/>
      <c r="E3" s="7">
        <f>-PMT(15%,15,1)</f>
        <v>0.17101705264630107</v>
      </c>
      <c r="F3" s="45">
        <v>112456.41185597518</v>
      </c>
    </row>
    <row r="4" spans="1:6" x14ac:dyDescent="0.3">
      <c r="A4" s="1"/>
      <c r="B4" s="4"/>
      <c r="C4" s="5"/>
      <c r="D4" s="5"/>
      <c r="E4" s="9"/>
      <c r="F4" s="9"/>
    </row>
    <row r="5" spans="1:6" x14ac:dyDescent="0.3">
      <c r="A5" s="1" t="s">
        <v>5</v>
      </c>
      <c r="B5" s="4">
        <v>90000000</v>
      </c>
      <c r="C5" s="5"/>
      <c r="D5" s="7">
        <f>B5*E3/F3</f>
        <v>136.86667113191638</v>
      </c>
      <c r="E5" s="9" t="s">
        <v>58</v>
      </c>
      <c r="F5" s="9"/>
    </row>
    <row r="6" spans="1:6" ht="43.2" x14ac:dyDescent="0.3">
      <c r="A6" s="1" t="s">
        <v>6</v>
      </c>
      <c r="B6" s="4">
        <v>18</v>
      </c>
      <c r="C6" s="5">
        <v>0.72</v>
      </c>
      <c r="D6" s="8">
        <f>(B6*1000000/F3)*C6</f>
        <v>115.24465155973579</v>
      </c>
      <c r="E6" s="47" t="s">
        <v>59</v>
      </c>
      <c r="F6" s="9"/>
    </row>
    <row r="7" spans="1:6" x14ac:dyDescent="0.3">
      <c r="A7" s="1"/>
      <c r="B7" s="4"/>
      <c r="C7" s="5"/>
      <c r="D7" s="5"/>
      <c r="E7" s="9"/>
      <c r="F7" s="9"/>
    </row>
    <row r="8" spans="1:6" ht="72" x14ac:dyDescent="0.3">
      <c r="A8" s="1" t="s">
        <v>53</v>
      </c>
      <c r="B8" s="4">
        <v>240000000</v>
      </c>
      <c r="C8" s="5">
        <v>0</v>
      </c>
      <c r="D8" s="5">
        <f>(B8*0.4*E3/F3)*C8</f>
        <v>0</v>
      </c>
      <c r="E8" s="46" t="s">
        <v>55</v>
      </c>
      <c r="F8" s="9"/>
    </row>
    <row r="9" spans="1:6" x14ac:dyDescent="0.3">
      <c r="A9" s="1"/>
      <c r="B9" s="4"/>
      <c r="C9" s="5"/>
      <c r="D9" s="5"/>
      <c r="E9" s="9"/>
      <c r="F9" s="9"/>
    </row>
    <row r="10" spans="1:6" x14ac:dyDescent="0.3">
      <c r="A10" s="1" t="s">
        <v>7</v>
      </c>
      <c r="B10" s="4">
        <v>6000000</v>
      </c>
      <c r="C10" s="5">
        <v>1</v>
      </c>
      <c r="D10" s="5">
        <f>(B10*E3/F3)*C10</f>
        <v>9.1244447421277588</v>
      </c>
      <c r="E10" s="9" t="s">
        <v>58</v>
      </c>
      <c r="F10" s="9"/>
    </row>
    <row r="11" spans="1:6" ht="28.8" x14ac:dyDescent="0.3">
      <c r="A11" s="1" t="s">
        <v>8</v>
      </c>
      <c r="B11" s="4">
        <v>24000000</v>
      </c>
      <c r="C11" s="5"/>
      <c r="D11" s="5">
        <f>B11*0.4*E3/F3</f>
        <v>14.599111587404412</v>
      </c>
      <c r="E11" s="46" t="s">
        <v>54</v>
      </c>
      <c r="F11" s="9"/>
    </row>
    <row r="12" spans="1:6" ht="28.8" x14ac:dyDescent="0.3">
      <c r="A12" s="10" t="s">
        <v>9</v>
      </c>
      <c r="B12" s="11">
        <v>20000000</v>
      </c>
      <c r="C12" s="12"/>
      <c r="D12" s="12"/>
      <c r="E12" s="46" t="s">
        <v>54</v>
      </c>
      <c r="F12" s="9"/>
    </row>
    <row r="13" spans="1:6" x14ac:dyDescent="0.3">
      <c r="A13" s="1" t="s">
        <v>10</v>
      </c>
      <c r="B13" s="4">
        <v>20000000</v>
      </c>
      <c r="C13" s="5">
        <v>0.72</v>
      </c>
      <c r="D13" s="5">
        <f>(B13*0.4*E3/F3)*C13</f>
        <v>8.7594669524426472</v>
      </c>
      <c r="E13" s="9" t="s">
        <v>58</v>
      </c>
      <c r="F13" s="9"/>
    </row>
    <row r="14" spans="1:6" ht="28.8" x14ac:dyDescent="0.3">
      <c r="A14" s="1" t="s">
        <v>11</v>
      </c>
      <c r="B14" s="4">
        <v>20000000</v>
      </c>
      <c r="C14" s="5">
        <v>0.72</v>
      </c>
      <c r="D14" s="5">
        <f>(B14*0.4*E3/F3)*C14</f>
        <v>8.7594669524426472</v>
      </c>
      <c r="E14" s="9" t="s">
        <v>58</v>
      </c>
      <c r="F14" s="9"/>
    </row>
    <row r="15" spans="1:6" x14ac:dyDescent="0.3">
      <c r="A15" s="1" t="s">
        <v>12</v>
      </c>
      <c r="B15" s="4">
        <v>17000000</v>
      </c>
      <c r="C15" s="5">
        <v>0.72</v>
      </c>
      <c r="D15" s="5">
        <f>B15*0.4*C15*E3/F3</f>
        <v>7.4455469095762501</v>
      </c>
      <c r="E15" s="9" t="s">
        <v>58</v>
      </c>
      <c r="F15" s="9"/>
    </row>
    <row r="16" spans="1:6" x14ac:dyDescent="0.3">
      <c r="A16" s="10" t="s">
        <v>13</v>
      </c>
      <c r="B16" s="11">
        <v>14000000</v>
      </c>
      <c r="C16" s="12"/>
      <c r="D16" s="12"/>
      <c r="E16" s="9"/>
      <c r="F16" s="9"/>
    </row>
    <row r="17" spans="1:6" ht="28.8" x14ac:dyDescent="0.3">
      <c r="A17" s="1" t="s">
        <v>14</v>
      </c>
      <c r="B17" s="4">
        <v>6696969.6969696963</v>
      </c>
      <c r="C17" s="5"/>
      <c r="D17" s="8">
        <f>B17/F3</f>
        <v>59.551692842081948</v>
      </c>
      <c r="E17" s="9" t="s">
        <v>60</v>
      </c>
      <c r="F17" s="9"/>
    </row>
    <row r="18" spans="1:6" x14ac:dyDescent="0.3">
      <c r="A18" s="1"/>
      <c r="B18" s="4"/>
      <c r="C18" s="5"/>
      <c r="D18" s="5"/>
      <c r="E18" s="9"/>
      <c r="F18" s="9"/>
    </row>
    <row r="19" spans="1:6" ht="28.8" x14ac:dyDescent="0.3">
      <c r="A19" s="13" t="s">
        <v>15</v>
      </c>
      <c r="B19" s="14">
        <v>1612741.8556600001</v>
      </c>
      <c r="C19" s="15"/>
      <c r="D19" s="16">
        <f>B19/F3</f>
        <v>14.341039599640309</v>
      </c>
      <c r="E19" s="47" t="s">
        <v>59</v>
      </c>
      <c r="F19" s="9"/>
    </row>
    <row r="20" spans="1:6" x14ac:dyDescent="0.3">
      <c r="A20" s="13" t="s">
        <v>16</v>
      </c>
      <c r="B20" s="14"/>
      <c r="C20" s="15"/>
      <c r="D20" s="16"/>
      <c r="E20" s="9"/>
      <c r="F20" s="9"/>
    </row>
    <row r="21" spans="1:6" x14ac:dyDescent="0.3">
      <c r="A21" s="1"/>
      <c r="B21" s="4"/>
      <c r="C21" s="5"/>
      <c r="D21" s="5"/>
      <c r="E21" s="9"/>
      <c r="F21" s="9"/>
    </row>
    <row r="22" spans="1:6" x14ac:dyDescent="0.3">
      <c r="A22" s="1" t="s">
        <v>17</v>
      </c>
      <c r="B22" s="4"/>
      <c r="C22" s="5"/>
      <c r="D22" s="5">
        <f>SUM(D5:D21)</f>
        <v>374.69209227736815</v>
      </c>
      <c r="E22" s="9"/>
      <c r="F22" s="9"/>
    </row>
    <row r="23" spans="1:6" x14ac:dyDescent="0.3">
      <c r="A23" s="1" t="s">
        <v>61</v>
      </c>
      <c r="B23" s="4"/>
      <c r="C23" s="5"/>
      <c r="D23" s="17">
        <f>411.5*F3</f>
        <v>46275813.478733785</v>
      </c>
      <c r="E23" s="18"/>
      <c r="F23" s="9"/>
    </row>
    <row r="24" spans="1:6" x14ac:dyDescent="0.3">
      <c r="A24" s="1" t="s">
        <v>18</v>
      </c>
      <c r="B24" s="4"/>
      <c r="C24" s="5"/>
      <c r="D24" s="8">
        <f>D22*F3</f>
        <v>42136528.248320773</v>
      </c>
      <c r="E24" s="18"/>
      <c r="F24" s="9"/>
    </row>
    <row r="25" spans="1:6" x14ac:dyDescent="0.3">
      <c r="A25" s="1" t="s">
        <v>19</v>
      </c>
      <c r="B25" s="4"/>
      <c r="C25" s="5"/>
      <c r="D25" s="8">
        <f>D23-D24</f>
        <v>4139285.2304130122</v>
      </c>
      <c r="E25" s="18"/>
      <c r="F25" s="9"/>
    </row>
    <row r="32" spans="1:6" ht="28.8" x14ac:dyDescent="0.3">
      <c r="A32" s="48"/>
      <c r="B32" s="49" t="s">
        <v>63</v>
      </c>
    </row>
    <row r="33" spans="1:14" x14ac:dyDescent="0.3">
      <c r="A33" s="3" t="s">
        <v>62</v>
      </c>
      <c r="B33" s="50">
        <f>D25/1000000</f>
        <v>4.1392852304130123</v>
      </c>
    </row>
    <row r="34" spans="1:14" x14ac:dyDescent="0.3">
      <c r="A34" s="3"/>
      <c r="B34" s="3"/>
      <c r="N34">
        <f>480.5-411.5</f>
        <v>69</v>
      </c>
    </row>
    <row r="35" spans="1:14" x14ac:dyDescent="0.3">
      <c r="A35" s="48"/>
      <c r="B35" s="3"/>
    </row>
    <row r="36" spans="1:14" ht="28.8" x14ac:dyDescent="0.3">
      <c r="A36" s="51" t="s">
        <v>64</v>
      </c>
      <c r="B36" s="52">
        <f>(452*F3-D24)/1000000</f>
        <v>8.6937699105800093</v>
      </c>
    </row>
  </sheetData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2"/>
  <sheetViews>
    <sheetView topLeftCell="C1" workbookViewId="0">
      <selection activeCell="H10" sqref="H10"/>
    </sheetView>
  </sheetViews>
  <sheetFormatPr defaultColWidth="9.109375" defaultRowHeight="14.4" x14ac:dyDescent="0.3"/>
  <cols>
    <col min="1" max="1" width="9.109375" style="23"/>
    <col min="2" max="2" width="15.33203125" style="23" bestFit="1" customWidth="1"/>
    <col min="3" max="5" width="13.109375" style="23" bestFit="1" customWidth="1"/>
    <col min="6" max="6" width="13.109375" style="23" customWidth="1"/>
    <col min="7" max="7" width="9.109375" style="23"/>
    <col min="8" max="8" width="33.33203125" style="23" customWidth="1"/>
    <col min="9" max="9" width="13.109375" style="23" bestFit="1" customWidth="1"/>
    <col min="10" max="10" width="16.44140625" style="23" bestFit="1" customWidth="1"/>
    <col min="11" max="11" width="17.5546875" style="23" bestFit="1" customWidth="1"/>
    <col min="12" max="12" width="14" style="23" bestFit="1" customWidth="1"/>
    <col min="13" max="13" width="10" style="23" bestFit="1" customWidth="1"/>
    <col min="14" max="14" width="19.33203125" style="23" hidden="1" customWidth="1"/>
    <col min="15" max="15" width="7.6640625" style="23" customWidth="1"/>
    <col min="16" max="16" width="11.44140625" style="23" customWidth="1"/>
    <col min="17" max="16384" width="9.109375" style="23"/>
  </cols>
  <sheetData>
    <row r="1" spans="8:15" ht="15" thickBot="1" x14ac:dyDescent="0.35"/>
    <row r="2" spans="8:15" ht="15" thickBot="1" x14ac:dyDescent="0.35">
      <c r="H2" s="54"/>
      <c r="I2" s="55">
        <v>2015</v>
      </c>
      <c r="J2" s="55">
        <v>2020</v>
      </c>
      <c r="K2" s="55">
        <v>2025</v>
      </c>
      <c r="L2" s="55">
        <v>2030</v>
      </c>
    </row>
    <row r="3" spans="8:15" ht="15" thickBot="1" x14ac:dyDescent="0.35">
      <c r="H3" s="143" t="s">
        <v>66</v>
      </c>
      <c r="I3" s="144"/>
      <c r="J3" s="144"/>
      <c r="K3" s="144"/>
      <c r="L3" s="145"/>
    </row>
    <row r="4" spans="8:15" x14ac:dyDescent="0.3">
      <c r="H4" s="146" t="s">
        <v>67</v>
      </c>
      <c r="I4" s="56" t="s">
        <v>68</v>
      </c>
      <c r="J4" s="56" t="s">
        <v>68</v>
      </c>
      <c r="K4" s="56" t="s">
        <v>68</v>
      </c>
      <c r="L4" s="56" t="s">
        <v>68</v>
      </c>
    </row>
    <row r="5" spans="8:15" x14ac:dyDescent="0.3">
      <c r="H5" s="148"/>
      <c r="I5" s="56" t="s">
        <v>69</v>
      </c>
      <c r="J5" s="56" t="s">
        <v>70</v>
      </c>
      <c r="K5" s="56" t="s">
        <v>71</v>
      </c>
      <c r="L5" s="56" t="s">
        <v>72</v>
      </c>
    </row>
    <row r="6" spans="8:15" x14ac:dyDescent="0.3">
      <c r="H6" s="59" t="s">
        <v>74</v>
      </c>
      <c r="I6" s="59">
        <f>M6*C32*1000000</f>
        <v>6287.16</v>
      </c>
      <c r="J6" s="59">
        <f>D32*M6*1000000</f>
        <v>9699.2000000000007</v>
      </c>
      <c r="K6" s="59">
        <f>E32*M6*1000000</f>
        <v>23356.02</v>
      </c>
      <c r="L6" s="59">
        <f>F32*M6*1000000</f>
        <v>30184.43</v>
      </c>
      <c r="M6" s="23">
        <v>4.3300000000000002E-5</v>
      </c>
      <c r="N6" s="23" t="s">
        <v>75</v>
      </c>
    </row>
    <row r="7" spans="8:15" x14ac:dyDescent="0.3">
      <c r="H7" s="59" t="s">
        <v>77</v>
      </c>
      <c r="I7" s="59">
        <f>I6*277.777</f>
        <v>1746428.4433199998</v>
      </c>
      <c r="J7" s="59">
        <f t="shared" ref="J7:L7" si="0">J6*277.777</f>
        <v>2694214.6784000001</v>
      </c>
      <c r="K7" s="59">
        <f t="shared" si="0"/>
        <v>6487765.1675399998</v>
      </c>
      <c r="L7" s="59">
        <f t="shared" si="0"/>
        <v>8384540.4121099999</v>
      </c>
    </row>
    <row r="8" spans="8:15" x14ac:dyDescent="0.3">
      <c r="H8" s="61" t="s">
        <v>115</v>
      </c>
      <c r="I8" s="59"/>
      <c r="J8" s="59"/>
      <c r="K8" s="59"/>
      <c r="L8" s="59"/>
    </row>
    <row r="9" spans="8:15" x14ac:dyDescent="0.3">
      <c r="H9" s="59" t="s">
        <v>80</v>
      </c>
      <c r="I9" s="59">
        <f>I7/7183</f>
        <v>243.13357139356813</v>
      </c>
      <c r="J9" s="59">
        <f t="shared" ref="J9:L9" si="1">J7/7183</f>
        <v>375.08209360991231</v>
      </c>
      <c r="K9" s="59">
        <f t="shared" si="1"/>
        <v>903.21107720172631</v>
      </c>
      <c r="L9" s="59">
        <f t="shared" si="1"/>
        <v>1167.2755689976334</v>
      </c>
    </row>
    <row r="10" spans="8:15" x14ac:dyDescent="0.3">
      <c r="H10" s="59" t="s">
        <v>82</v>
      </c>
      <c r="I10" s="61">
        <v>160</v>
      </c>
      <c r="J10" s="61">
        <v>160</v>
      </c>
      <c r="K10" s="61">
        <v>160</v>
      </c>
      <c r="L10" s="61">
        <v>160</v>
      </c>
    </row>
    <row r="11" spans="8:15" x14ac:dyDescent="0.3">
      <c r="H11" s="59" t="s">
        <v>84</v>
      </c>
      <c r="I11" s="59">
        <v>80</v>
      </c>
      <c r="J11" s="59">
        <v>80</v>
      </c>
      <c r="K11" s="59">
        <v>80</v>
      </c>
      <c r="L11" s="59">
        <v>80</v>
      </c>
    </row>
    <row r="12" spans="8:15" x14ac:dyDescent="0.3">
      <c r="H12" s="59" t="s">
        <v>86</v>
      </c>
      <c r="I12" s="37">
        <f>(I11+I10)-I9</f>
        <v>-3.1335713935681326</v>
      </c>
      <c r="J12" s="37">
        <f t="shared" ref="J12:L12" si="2">(J11+J10)-J9</f>
        <v>-135.08209360991231</v>
      </c>
      <c r="K12" s="37">
        <f t="shared" si="2"/>
        <v>-663.21107720172631</v>
      </c>
      <c r="L12" s="37">
        <f t="shared" si="2"/>
        <v>-927.2755689976334</v>
      </c>
    </row>
    <row r="13" spans="8:15" x14ac:dyDescent="0.3">
      <c r="H13" s="37"/>
      <c r="I13" s="37"/>
      <c r="J13" s="37"/>
      <c r="K13" s="37"/>
      <c r="L13" s="37"/>
      <c r="O13" s="23">
        <f>L12*0.4</f>
        <v>-370.91022759905337</v>
      </c>
    </row>
    <row r="14" spans="8:15" x14ac:dyDescent="0.3">
      <c r="H14" s="37" t="s">
        <v>89</v>
      </c>
      <c r="I14" s="37"/>
      <c r="J14" s="37">
        <f>J7-I7</f>
        <v>947786.23508000025</v>
      </c>
      <c r="K14" s="37">
        <f>K7-I7</f>
        <v>4741336.7242200002</v>
      </c>
      <c r="L14" s="37">
        <f>L7-I7</f>
        <v>6638111.9687900003</v>
      </c>
    </row>
    <row r="15" spans="8:15" x14ac:dyDescent="0.3">
      <c r="H15" s="37"/>
      <c r="I15" s="37"/>
      <c r="J15" s="37"/>
      <c r="K15" s="37"/>
      <c r="L15" s="37"/>
    </row>
    <row r="16" spans="8:15" ht="28.8" x14ac:dyDescent="0.3">
      <c r="H16" s="66" t="s">
        <v>116</v>
      </c>
      <c r="I16" s="37">
        <f>0.35*I7</f>
        <v>611249.95516199991</v>
      </c>
      <c r="J16" s="37">
        <f>I16+(J14*0.4)</f>
        <v>990364.4491940001</v>
      </c>
      <c r="K16" s="37">
        <f>I16+(K14*0.4)</f>
        <v>2507784.6448499998</v>
      </c>
      <c r="L16" s="37">
        <f>I16+(L14*0.4)</f>
        <v>3266494.7426780001</v>
      </c>
    </row>
    <row r="17" spans="2:14" x14ac:dyDescent="0.3">
      <c r="H17" s="37" t="s">
        <v>90</v>
      </c>
      <c r="I17" s="37">
        <v>40</v>
      </c>
      <c r="J17" s="23">
        <v>64.430000000000007</v>
      </c>
      <c r="K17" s="23">
        <v>67.86</v>
      </c>
      <c r="L17" s="23">
        <v>66.599999999999994</v>
      </c>
      <c r="M17" s="67"/>
    </row>
    <row r="18" spans="2:14" x14ac:dyDescent="0.3">
      <c r="H18" s="37" t="s">
        <v>117</v>
      </c>
      <c r="I18" s="63">
        <f>40*I16</f>
        <v>24449998.206479996</v>
      </c>
      <c r="J18" s="63">
        <f>J17*J16</f>
        <v>63809181.461569436</v>
      </c>
      <c r="K18" s="63">
        <f t="shared" ref="K18:L18" si="3">K17*K16</f>
        <v>170178265.99952099</v>
      </c>
      <c r="L18" s="63">
        <f t="shared" si="3"/>
        <v>217548549.86235479</v>
      </c>
    </row>
    <row r="19" spans="2:14" x14ac:dyDescent="0.3">
      <c r="H19" s="37"/>
      <c r="I19" s="62">
        <f>I20/I7</f>
        <v>7.7327172516083058</v>
      </c>
      <c r="J19" s="62">
        <f t="shared" ref="J19:L19" si="4">J20/J7</f>
        <v>7.7327172516083049</v>
      </c>
      <c r="K19" s="62">
        <f t="shared" si="4"/>
        <v>7.7327172516083049</v>
      </c>
      <c r="L19" s="62">
        <f t="shared" si="4"/>
        <v>7.7327172516083049</v>
      </c>
    </row>
    <row r="20" spans="2:14" x14ac:dyDescent="0.3">
      <c r="H20" s="59" t="s">
        <v>91</v>
      </c>
      <c r="I20" s="63">
        <f>I6*1000*2.147971</f>
        <v>13504637.352360001</v>
      </c>
      <c r="J20" s="63">
        <f>J6*1000*2.147971</f>
        <v>20833600.323200002</v>
      </c>
      <c r="K20" s="63">
        <f>K6*1000*2.147971</f>
        <v>50168053.635420002</v>
      </c>
      <c r="L20" s="63">
        <f>L6*1000*2.147971</f>
        <v>64835280.291530006</v>
      </c>
    </row>
    <row r="21" spans="2:14" x14ac:dyDescent="0.3">
      <c r="H21" s="37" t="s">
        <v>92</v>
      </c>
      <c r="I21" s="63">
        <f>56.1*I6</f>
        <v>352709.67599999998</v>
      </c>
      <c r="J21" s="63">
        <f t="shared" ref="J21:L21" si="5">56.1*J6</f>
        <v>544125.12000000011</v>
      </c>
      <c r="K21" s="63">
        <f t="shared" si="5"/>
        <v>1310272.7220000001</v>
      </c>
      <c r="L21" s="63">
        <f t="shared" si="5"/>
        <v>1693346.523</v>
      </c>
    </row>
    <row r="22" spans="2:14" x14ac:dyDescent="0.3">
      <c r="H22" s="37" t="s">
        <v>93</v>
      </c>
      <c r="I22" s="23">
        <v>10.125</v>
      </c>
      <c r="J22" s="23">
        <v>15</v>
      </c>
      <c r="K22" s="23">
        <v>19.875</v>
      </c>
      <c r="L22" s="23">
        <v>24.75</v>
      </c>
    </row>
    <row r="23" spans="2:14" x14ac:dyDescent="0.3">
      <c r="H23" s="37" t="s">
        <v>94</v>
      </c>
      <c r="I23" s="63">
        <f>I22*I21</f>
        <v>3571185.4694999997</v>
      </c>
      <c r="J23" s="63">
        <f>J22*J21</f>
        <v>8161876.8000000017</v>
      </c>
      <c r="K23" s="63">
        <f t="shared" ref="K23:L23" si="6">K22*K21</f>
        <v>26041670.349750001</v>
      </c>
      <c r="L23" s="63">
        <f t="shared" si="6"/>
        <v>41910326.444250003</v>
      </c>
    </row>
    <row r="24" spans="2:14" x14ac:dyDescent="0.3">
      <c r="H24" s="37" t="s">
        <v>95</v>
      </c>
      <c r="I24" s="63">
        <f>I20+I23</f>
        <v>17075822.82186</v>
      </c>
      <c r="J24" s="63">
        <f>J20+J23</f>
        <v>28995477.123200003</v>
      </c>
      <c r="K24" s="63">
        <f t="shared" ref="K24" si="7">K20+K23</f>
        <v>76209723.985170007</v>
      </c>
      <c r="L24" s="63">
        <f>L20+L23</f>
        <v>106745606.73578</v>
      </c>
    </row>
    <row r="25" spans="2:14" x14ac:dyDescent="0.3">
      <c r="H25" s="37" t="s">
        <v>96</v>
      </c>
      <c r="I25" s="63">
        <f>I18-I24</f>
        <v>7374175.384619996</v>
      </c>
      <c r="J25" s="63">
        <f t="shared" ref="J25:L25" si="8">J18-J24</f>
        <v>34813704.338369429</v>
      </c>
      <c r="K25" s="63">
        <f t="shared" si="8"/>
        <v>93968542.014350981</v>
      </c>
      <c r="L25" s="63">
        <f t="shared" si="8"/>
        <v>110802943.12657478</v>
      </c>
    </row>
    <row r="26" spans="2:14" x14ac:dyDescent="0.3">
      <c r="H26" s="37">
        <v>400000</v>
      </c>
      <c r="I26" s="63"/>
      <c r="J26" s="63"/>
      <c r="K26" s="63"/>
      <c r="L26" s="63"/>
    </row>
    <row r="27" spans="2:14" ht="16.2" thickBot="1" x14ac:dyDescent="0.35">
      <c r="B27" s="53" t="s">
        <v>65</v>
      </c>
      <c r="H27" s="59" t="s">
        <v>118</v>
      </c>
      <c r="I27" s="37" t="s">
        <v>97</v>
      </c>
      <c r="J27" s="64">
        <f>40000000</f>
        <v>40000000</v>
      </c>
      <c r="K27" s="63">
        <f t="shared" ref="K27:L27" si="9">40000000</f>
        <v>40000000</v>
      </c>
      <c r="L27" s="63">
        <f t="shared" si="9"/>
        <v>40000000</v>
      </c>
    </row>
    <row r="28" spans="2:14" ht="15" thickBot="1" x14ac:dyDescent="0.35">
      <c r="B28" s="54"/>
      <c r="C28" s="55">
        <v>2015</v>
      </c>
      <c r="D28" s="55">
        <v>2020</v>
      </c>
      <c r="E28" s="55">
        <v>2025</v>
      </c>
      <c r="F28" s="55">
        <v>2030</v>
      </c>
      <c r="H28" s="37" t="s">
        <v>98</v>
      </c>
      <c r="I28" s="37"/>
      <c r="J28" s="37"/>
      <c r="K28" s="37"/>
      <c r="L28" s="37"/>
    </row>
    <row r="29" spans="2:14" ht="15" thickBot="1" x14ac:dyDescent="0.35">
      <c r="B29" s="143" t="s">
        <v>66</v>
      </c>
      <c r="C29" s="144"/>
      <c r="D29" s="144"/>
      <c r="E29" s="144"/>
      <c r="F29" s="145"/>
      <c r="H29" s="65">
        <f>-PMT(10%,20,1)</f>
        <v>0.11745962477254579</v>
      </c>
      <c r="I29" s="37" t="s">
        <v>119</v>
      </c>
      <c r="J29" s="37"/>
      <c r="K29" s="37"/>
      <c r="L29" s="37"/>
    </row>
    <row r="30" spans="2:14" x14ac:dyDescent="0.3">
      <c r="B30" s="146" t="s">
        <v>67</v>
      </c>
      <c r="C30" s="56" t="s">
        <v>68</v>
      </c>
      <c r="D30" s="56" t="s">
        <v>68</v>
      </c>
      <c r="E30" s="56" t="s">
        <v>68</v>
      </c>
      <c r="F30" s="56" t="s">
        <v>68</v>
      </c>
      <c r="H30" s="37" t="s">
        <v>99</v>
      </c>
      <c r="I30" s="37"/>
      <c r="J30" s="37">
        <v>135</v>
      </c>
      <c r="K30" s="63">
        <f>-K12-J30</f>
        <v>528.21107720172631</v>
      </c>
      <c r="L30" s="63">
        <f>-L12-K30</f>
        <v>399.06449179590709</v>
      </c>
    </row>
    <row r="31" spans="2:14" ht="15" thickBot="1" x14ac:dyDescent="0.35">
      <c r="B31" s="147"/>
      <c r="C31" s="57" t="s">
        <v>69</v>
      </c>
      <c r="D31" s="57" t="s">
        <v>70</v>
      </c>
      <c r="E31" s="57" t="s">
        <v>71</v>
      </c>
      <c r="F31" s="57" t="s">
        <v>72</v>
      </c>
      <c r="H31" s="37" t="s">
        <v>0</v>
      </c>
      <c r="I31" s="37"/>
      <c r="J31" s="65">
        <f>H29*J27*J30/100</f>
        <v>6342819.737717472</v>
      </c>
      <c r="K31" s="65">
        <f>H29*K27*K30/100</f>
        <v>24817389.971526794</v>
      </c>
      <c r="L31" s="65">
        <f>H29*L27*L30/100</f>
        <v>18749586.186557569</v>
      </c>
    </row>
    <row r="32" spans="2:14" ht="31.2" thickBot="1" x14ac:dyDescent="0.35">
      <c r="B32" s="58" t="s">
        <v>73</v>
      </c>
      <c r="C32" s="57">
        <v>145.19999999999999</v>
      </c>
      <c r="D32" s="57">
        <v>224</v>
      </c>
      <c r="E32" s="57">
        <v>539.4</v>
      </c>
      <c r="F32" s="57">
        <v>697.1</v>
      </c>
      <c r="N32" s="19"/>
    </row>
    <row r="33" spans="2:16" ht="15" thickBot="1" x14ac:dyDescent="0.35">
      <c r="B33" s="149" t="s">
        <v>76</v>
      </c>
      <c r="C33" s="150"/>
      <c r="D33" s="150"/>
      <c r="E33" s="150"/>
      <c r="F33" s="151"/>
      <c r="H33" s="23" t="s">
        <v>100</v>
      </c>
      <c r="I33" s="24">
        <f>I25-I31</f>
        <v>7374175.384619996</v>
      </c>
      <c r="J33" s="24">
        <f t="shared" ref="J33:L33" si="10">J25-J31</f>
        <v>28470884.600651957</v>
      </c>
      <c r="K33" s="24">
        <f t="shared" si="10"/>
        <v>69151152.042824179</v>
      </c>
      <c r="L33" s="24">
        <f t="shared" si="10"/>
        <v>92053356.940017223</v>
      </c>
      <c r="N33" s="60"/>
    </row>
    <row r="34" spans="2:16" ht="15" thickBot="1" x14ac:dyDescent="0.35">
      <c r="B34" s="58" t="s">
        <v>67</v>
      </c>
      <c r="C34" s="57" t="s">
        <v>78</v>
      </c>
      <c r="D34" s="57" t="s">
        <v>79</v>
      </c>
      <c r="E34" s="57" t="s">
        <v>79</v>
      </c>
      <c r="F34" s="57" t="s">
        <v>79</v>
      </c>
      <c r="H34" s="23" t="s">
        <v>101</v>
      </c>
      <c r="I34" s="23">
        <f>I33/I16</f>
        <v>12.064091493741891</v>
      </c>
      <c r="J34" s="23">
        <f t="shared" ref="J34:L34" si="11">J33/J16</f>
        <v>28.747886319852</v>
      </c>
      <c r="K34" s="23">
        <f t="shared" si="11"/>
        <v>27.574597437955195</v>
      </c>
      <c r="L34" s="23">
        <f t="shared" si="11"/>
        <v>28.181082227779214</v>
      </c>
    </row>
    <row r="35" spans="2:16" ht="31.2" thickBot="1" x14ac:dyDescent="0.35">
      <c r="B35" s="58" t="s">
        <v>73</v>
      </c>
      <c r="C35" s="57">
        <v>85.8</v>
      </c>
      <c r="D35" s="57">
        <v>202</v>
      </c>
      <c r="E35" s="57">
        <v>202</v>
      </c>
      <c r="F35" s="57">
        <v>202</v>
      </c>
    </row>
    <row r="36" spans="2:16" ht="31.2" thickBot="1" x14ac:dyDescent="0.35">
      <c r="B36" s="58" t="s">
        <v>81</v>
      </c>
      <c r="C36" s="57">
        <v>231</v>
      </c>
      <c r="D36" s="57">
        <v>426</v>
      </c>
      <c r="E36" s="57">
        <v>741.4</v>
      </c>
      <c r="F36" s="57">
        <v>899.1</v>
      </c>
      <c r="H36" s="37" t="s">
        <v>102</v>
      </c>
      <c r="I36" s="63"/>
      <c r="J36" s="63"/>
      <c r="K36" s="63"/>
      <c r="L36" s="63"/>
      <c r="N36" s="23" t="s">
        <v>83</v>
      </c>
      <c r="O36" s="23">
        <v>2.1479713603818618E-3</v>
      </c>
    </row>
    <row r="37" spans="2:16" x14ac:dyDescent="0.3">
      <c r="H37" s="37" t="s">
        <v>103</v>
      </c>
      <c r="I37" s="63">
        <v>2000000</v>
      </c>
      <c r="J37" s="63">
        <v>2000000</v>
      </c>
      <c r="K37" s="63">
        <v>2000000</v>
      </c>
      <c r="L37" s="63">
        <v>2000000</v>
      </c>
      <c r="N37" s="23" t="s">
        <v>85</v>
      </c>
      <c r="O37" s="23">
        <v>2.1479713603818618</v>
      </c>
    </row>
    <row r="38" spans="2:16" x14ac:dyDescent="0.3">
      <c r="H38" s="37" t="s">
        <v>104</v>
      </c>
      <c r="I38" s="63">
        <f>2000000</f>
        <v>2000000</v>
      </c>
      <c r="J38" s="63">
        <f>2*2000000</f>
        <v>4000000</v>
      </c>
      <c r="K38" s="63">
        <f>6*2000000</f>
        <v>12000000</v>
      </c>
      <c r="L38" s="63">
        <f>8*2000000</f>
        <v>16000000</v>
      </c>
      <c r="N38" s="23" t="s">
        <v>87</v>
      </c>
      <c r="O38" s="23">
        <v>9.3221957040572803E-2</v>
      </c>
      <c r="P38" s="23" t="s">
        <v>4</v>
      </c>
    </row>
    <row r="39" spans="2:16" x14ac:dyDescent="0.3">
      <c r="H39" s="37" t="s">
        <v>105</v>
      </c>
      <c r="I39" s="63">
        <f>I37+I38</f>
        <v>4000000</v>
      </c>
      <c r="J39" s="63">
        <f t="shared" ref="J39:L39" si="12">J37+J38</f>
        <v>6000000</v>
      </c>
      <c r="K39" s="63">
        <f t="shared" si="12"/>
        <v>14000000</v>
      </c>
      <c r="L39" s="63">
        <f t="shared" si="12"/>
        <v>18000000</v>
      </c>
      <c r="N39" s="23" t="s">
        <v>88</v>
      </c>
      <c r="O39" s="23">
        <v>93.221957040572804</v>
      </c>
      <c r="P39" s="23" t="s">
        <v>4</v>
      </c>
    </row>
    <row r="40" spans="2:16" x14ac:dyDescent="0.3">
      <c r="H40" s="37"/>
      <c r="I40" s="37"/>
      <c r="J40" s="37"/>
      <c r="K40" s="37"/>
      <c r="L40" s="37"/>
    </row>
    <row r="41" spans="2:16" x14ac:dyDescent="0.3">
      <c r="H41" s="37" t="s">
        <v>106</v>
      </c>
      <c r="I41" s="37">
        <f>0.112456*I39</f>
        <v>449824</v>
      </c>
      <c r="J41" s="37">
        <f t="shared" ref="J41:L41" si="13">0.112456*J39</f>
        <v>674736</v>
      </c>
      <c r="K41" s="37">
        <f t="shared" si="13"/>
        <v>1574384</v>
      </c>
      <c r="L41" s="37">
        <f t="shared" si="13"/>
        <v>2024208</v>
      </c>
    </row>
    <row r="42" spans="2:16" x14ac:dyDescent="0.3">
      <c r="H42" s="37"/>
      <c r="I42" s="37"/>
      <c r="J42" s="37"/>
      <c r="K42" s="37"/>
      <c r="L42" s="37"/>
    </row>
    <row r="43" spans="2:16" x14ac:dyDescent="0.3">
      <c r="H43" s="37" t="s">
        <v>120</v>
      </c>
      <c r="I43" s="63">
        <f>I41*452</f>
        <v>203320448</v>
      </c>
      <c r="J43" s="63">
        <f t="shared" ref="J43:L43" si="14">J41*452</f>
        <v>304980672</v>
      </c>
      <c r="K43" s="63">
        <f t="shared" si="14"/>
        <v>711621568</v>
      </c>
      <c r="L43" s="63">
        <f t="shared" si="14"/>
        <v>914942016</v>
      </c>
    </row>
    <row r="44" spans="2:16" x14ac:dyDescent="0.3">
      <c r="H44" s="37" t="s">
        <v>107</v>
      </c>
      <c r="I44" s="63">
        <f>375*I41</f>
        <v>168684000</v>
      </c>
      <c r="J44" s="63">
        <f t="shared" ref="J44:L44" si="15">375*J41</f>
        <v>253026000</v>
      </c>
      <c r="K44" s="63">
        <f t="shared" si="15"/>
        <v>590394000</v>
      </c>
      <c r="L44" s="63">
        <f t="shared" si="15"/>
        <v>759078000</v>
      </c>
    </row>
    <row r="45" spans="2:16" x14ac:dyDescent="0.3">
      <c r="H45" s="37"/>
      <c r="I45" s="63"/>
      <c r="J45" s="63"/>
      <c r="K45" s="63"/>
      <c r="L45" s="63"/>
    </row>
    <row r="46" spans="2:16" x14ac:dyDescent="0.3">
      <c r="H46" s="37" t="s">
        <v>108</v>
      </c>
      <c r="I46" s="63">
        <f>I43-I44</f>
        <v>34636448</v>
      </c>
      <c r="J46" s="63">
        <f t="shared" ref="J46:L46" si="16">J43-J44</f>
        <v>51954672</v>
      </c>
      <c r="K46" s="63">
        <f t="shared" si="16"/>
        <v>121227568</v>
      </c>
      <c r="L46" s="63">
        <f t="shared" si="16"/>
        <v>155864016</v>
      </c>
    </row>
    <row r="48" spans="2:16" x14ac:dyDescent="0.3">
      <c r="H48" s="140" t="s">
        <v>184</v>
      </c>
      <c r="I48" s="142">
        <f>I33/I39</f>
        <v>1.8435438461549989</v>
      </c>
      <c r="J48" s="142">
        <f t="shared" ref="J48:L48" si="17">J33/J39</f>
        <v>4.7451474334419927</v>
      </c>
      <c r="K48" s="142">
        <f t="shared" si="17"/>
        <v>4.9393680030588696</v>
      </c>
      <c r="L48" s="142">
        <f t="shared" si="17"/>
        <v>5.1140753855565126</v>
      </c>
    </row>
    <row r="49" spans="8:12" x14ac:dyDescent="0.3">
      <c r="H49" s="141" t="s">
        <v>183</v>
      </c>
      <c r="I49" s="142">
        <f>I46/I39</f>
        <v>8.6591120000000004</v>
      </c>
      <c r="J49" s="142">
        <f>J46/J39</f>
        <v>8.6591120000000004</v>
      </c>
      <c r="K49" s="142">
        <f>K46/K39</f>
        <v>8.6591120000000004</v>
      </c>
      <c r="L49" s="142">
        <f>L46/L39</f>
        <v>8.6591120000000004</v>
      </c>
    </row>
    <row r="50" spans="8:12" x14ac:dyDescent="0.3">
      <c r="H50" s="23" t="s">
        <v>109</v>
      </c>
      <c r="I50" s="23">
        <f>I33/I46</f>
        <v>0.21290218282833148</v>
      </c>
      <c r="J50" s="23">
        <f>J33/J46</f>
        <v>0.54799469431068604</v>
      </c>
      <c r="K50" s="23">
        <f>K33/K46</f>
        <v>0.57042431176070596</v>
      </c>
      <c r="L50" s="23">
        <f>L33/L46</f>
        <v>0.5906004432736881</v>
      </c>
    </row>
    <row r="51" spans="8:12" x14ac:dyDescent="0.3">
      <c r="H51" s="23" t="s">
        <v>110</v>
      </c>
      <c r="J51" s="24">
        <v>2000000</v>
      </c>
      <c r="K51" s="24">
        <v>2000000</v>
      </c>
      <c r="L51" s="24">
        <v>2000000</v>
      </c>
    </row>
    <row r="52" spans="8:12" x14ac:dyDescent="0.3">
      <c r="H52" s="23" t="s">
        <v>111</v>
      </c>
      <c r="J52" s="24">
        <v>4200000</v>
      </c>
      <c r="K52" s="24">
        <v>4200000</v>
      </c>
      <c r="L52" s="24">
        <v>4200000</v>
      </c>
    </row>
    <row r="53" spans="8:12" x14ac:dyDescent="0.3">
      <c r="H53" s="140" t="s">
        <v>112</v>
      </c>
      <c r="I53" s="140"/>
      <c r="J53" s="139">
        <f>J39+J52+J51</f>
        <v>12200000</v>
      </c>
      <c r="K53" s="139">
        <f>K39+K52+K51</f>
        <v>20200000</v>
      </c>
      <c r="L53" s="139">
        <f>L39+L52+L51</f>
        <v>24200000</v>
      </c>
    </row>
    <row r="54" spans="8:12" x14ac:dyDescent="0.3">
      <c r="H54" s="140" t="s">
        <v>113</v>
      </c>
      <c r="I54" s="140"/>
      <c r="J54" s="139">
        <f>J53/1.2</f>
        <v>10166666.666666668</v>
      </c>
      <c r="K54" s="139">
        <f t="shared" ref="K54:L54" si="18">K53/1.2</f>
        <v>16833333.333333336</v>
      </c>
      <c r="L54" s="139">
        <f t="shared" si="18"/>
        <v>20166666.666666668</v>
      </c>
    </row>
    <row r="55" spans="8:12" x14ac:dyDescent="0.3">
      <c r="J55" s="24">
        <f>H58*1000000-J54</f>
        <v>4833333.3333333321</v>
      </c>
      <c r="K55" s="24">
        <f>H58*1000000-K54</f>
        <v>-1833333.3333333358</v>
      </c>
      <c r="L55" s="24"/>
    </row>
    <row r="56" spans="8:12" x14ac:dyDescent="0.3">
      <c r="J56" s="24">
        <f>H59*1000000-J54</f>
        <v>9833333.3333333321</v>
      </c>
      <c r="K56" s="24">
        <f>H59*1000000-K54</f>
        <v>3166666.6666666642</v>
      </c>
      <c r="L56" s="24">
        <f>H59*1000000-L54</f>
        <v>-166666.66666666791</v>
      </c>
    </row>
    <row r="57" spans="8:12" x14ac:dyDescent="0.3">
      <c r="J57" s="24"/>
      <c r="K57" s="24"/>
      <c r="L57" s="24"/>
    </row>
    <row r="58" spans="8:12" x14ac:dyDescent="0.3">
      <c r="H58" s="23">
        <v>15</v>
      </c>
      <c r="I58" s="23" t="s">
        <v>114</v>
      </c>
    </row>
    <row r="59" spans="8:12" x14ac:dyDescent="0.3">
      <c r="H59" s="23">
        <v>20</v>
      </c>
      <c r="I59" s="23" t="s">
        <v>114</v>
      </c>
    </row>
    <row r="60" spans="8:12" x14ac:dyDescent="0.3">
      <c r="H60" s="23">
        <v>25</v>
      </c>
      <c r="I60" s="23" t="s">
        <v>114</v>
      </c>
    </row>
    <row r="89" spans="7:7" x14ac:dyDescent="0.3">
      <c r="G89" s="23">
        <v>2015</v>
      </c>
    </row>
    <row r="90" spans="7:7" x14ac:dyDescent="0.3">
      <c r="G90" s="23">
        <v>2020</v>
      </c>
    </row>
    <row r="91" spans="7:7" x14ac:dyDescent="0.3">
      <c r="G91" s="23">
        <v>2025</v>
      </c>
    </row>
    <row r="92" spans="7:7" x14ac:dyDescent="0.3">
      <c r="G92" s="23">
        <v>2030</v>
      </c>
    </row>
  </sheetData>
  <mergeCells count="5">
    <mergeCell ref="B29:F29"/>
    <mergeCell ref="H3:L3"/>
    <mergeCell ref="B30:B31"/>
    <mergeCell ref="H4:H5"/>
    <mergeCell ref="B33:F3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tabSelected="1" topLeftCell="A67" zoomScale="75" zoomScaleNormal="75" workbookViewId="0">
      <selection activeCell="E85" sqref="E85"/>
    </sheetView>
  </sheetViews>
  <sheetFormatPr defaultColWidth="9.109375" defaultRowHeight="14.4" x14ac:dyDescent="0.3"/>
  <cols>
    <col min="1" max="1" width="9.109375" style="23"/>
    <col min="2" max="2" width="20.33203125" style="23" bestFit="1" customWidth="1"/>
    <col min="3" max="3" width="8.33203125" style="23" bestFit="1" customWidth="1"/>
    <col min="4" max="4" width="5.44140625" style="23" bestFit="1" customWidth="1"/>
    <col min="5" max="5" width="59.44140625" style="23" bestFit="1" customWidth="1"/>
    <col min="6" max="6" width="3.6640625" style="23" bestFit="1" customWidth="1"/>
    <col min="7" max="7" width="10.44140625" style="23" bestFit="1" customWidth="1"/>
    <col min="8" max="8" width="7.88671875" style="23" bestFit="1" customWidth="1"/>
    <col min="9" max="9" width="21.88671875" style="23" bestFit="1" customWidth="1"/>
    <col min="10" max="10" width="27.88671875" style="23" bestFit="1" customWidth="1"/>
    <col min="11" max="11" width="12.109375" style="23" bestFit="1" customWidth="1"/>
    <col min="12" max="14" width="18.88671875" style="23" bestFit="1" customWidth="1"/>
    <col min="15" max="15" width="9.109375" style="23"/>
    <col min="16" max="16" width="4" style="23" bestFit="1" customWidth="1"/>
    <col min="17" max="17" width="11.5546875" style="23" bestFit="1" customWidth="1"/>
    <col min="18" max="16384" width="9.109375" style="23"/>
  </cols>
  <sheetData>
    <row r="1" spans="1:17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P1" s="68"/>
      <c r="Q1" s="68"/>
    </row>
    <row r="2" spans="1:17" x14ac:dyDescent="0.3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P2" s="68"/>
      <c r="Q2" s="68"/>
    </row>
    <row r="3" spans="1:17" x14ac:dyDescent="0.3">
      <c r="A3" s="68"/>
      <c r="B3" s="68" t="s">
        <v>121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P3" s="68"/>
      <c r="Q3" s="68"/>
    </row>
    <row r="4" spans="1:17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P4" s="68"/>
      <c r="Q4" s="68"/>
    </row>
    <row r="5" spans="1:17" x14ac:dyDescent="0.3">
      <c r="A5" s="68"/>
      <c r="B5" s="68">
        <v>8.4</v>
      </c>
      <c r="C5" s="68" t="s">
        <v>122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P5" s="68"/>
      <c r="Q5" s="68"/>
    </row>
    <row r="6" spans="1:17" x14ac:dyDescent="0.3">
      <c r="A6" s="68"/>
      <c r="B6" s="69">
        <f>B5/3.6</f>
        <v>2.3333333333333335</v>
      </c>
      <c r="C6" s="68" t="s">
        <v>123</v>
      </c>
      <c r="D6" s="68"/>
      <c r="E6" s="70"/>
      <c r="F6" s="70"/>
      <c r="G6" s="70"/>
      <c r="H6" s="70" t="s">
        <v>124</v>
      </c>
      <c r="I6" s="71"/>
      <c r="J6" s="71"/>
      <c r="K6" s="71"/>
      <c r="L6" s="72" t="s">
        <v>180</v>
      </c>
      <c r="M6" s="73" t="s">
        <v>181</v>
      </c>
      <c r="N6" s="74" t="s">
        <v>182</v>
      </c>
      <c r="P6" s="68"/>
      <c r="Q6" s="68"/>
    </row>
    <row r="7" spans="1:17" x14ac:dyDescent="0.3">
      <c r="A7" s="68"/>
      <c r="B7" s="68"/>
      <c r="C7" s="68"/>
      <c r="D7" s="68"/>
      <c r="E7" s="80" t="s">
        <v>125</v>
      </c>
      <c r="F7" s="80" t="s">
        <v>126</v>
      </c>
      <c r="G7" s="80" t="s">
        <v>127</v>
      </c>
      <c r="H7" s="81">
        <v>0.36</v>
      </c>
      <c r="I7" s="78">
        <v>194</v>
      </c>
      <c r="J7" s="78"/>
      <c r="K7" s="78"/>
      <c r="L7" s="77">
        <v>194</v>
      </c>
      <c r="M7" s="78">
        <v>194</v>
      </c>
      <c r="N7" s="79">
        <v>194</v>
      </c>
      <c r="P7" s="68"/>
      <c r="Q7" s="68"/>
    </row>
    <row r="8" spans="1:17" x14ac:dyDescent="0.3">
      <c r="A8" s="68"/>
      <c r="B8" s="68"/>
      <c r="C8" s="68"/>
      <c r="D8" s="68"/>
      <c r="E8" s="80" t="s">
        <v>128</v>
      </c>
      <c r="F8" s="80" t="s">
        <v>129</v>
      </c>
      <c r="G8" s="80" t="s">
        <v>127</v>
      </c>
      <c r="H8" s="81">
        <v>0.36</v>
      </c>
      <c r="I8" s="78">
        <v>192</v>
      </c>
      <c r="J8" s="78"/>
      <c r="K8" s="78"/>
      <c r="L8" s="77">
        <v>192</v>
      </c>
      <c r="M8" s="78">
        <v>192</v>
      </c>
      <c r="N8" s="79">
        <v>192</v>
      </c>
      <c r="P8" s="68"/>
      <c r="Q8" s="68"/>
    </row>
    <row r="9" spans="1:17" x14ac:dyDescent="0.3">
      <c r="A9" s="68"/>
      <c r="B9" s="68"/>
      <c r="C9" s="68"/>
      <c r="D9" s="68"/>
      <c r="E9" s="68" t="s">
        <v>130</v>
      </c>
      <c r="F9" s="68"/>
      <c r="G9" s="68"/>
      <c r="H9" s="75">
        <v>0.38</v>
      </c>
      <c r="I9" s="76"/>
      <c r="J9" s="76"/>
      <c r="K9" s="76"/>
      <c r="L9" s="77">
        <v>270</v>
      </c>
      <c r="M9" s="78">
        <v>270</v>
      </c>
      <c r="N9" s="79">
        <v>270</v>
      </c>
      <c r="P9" s="68"/>
      <c r="Q9" s="68"/>
    </row>
    <row r="10" spans="1:17" ht="15.6" x14ac:dyDescent="0.3">
      <c r="A10" s="68"/>
      <c r="B10" s="68"/>
      <c r="C10" s="68"/>
      <c r="D10" s="68"/>
      <c r="E10" s="82" t="s">
        <v>131</v>
      </c>
      <c r="F10" s="83"/>
      <c r="G10" s="83"/>
      <c r="H10" s="83"/>
      <c r="I10" s="71">
        <f>SUM(I7:I9)</f>
        <v>386</v>
      </c>
      <c r="J10" s="71"/>
      <c r="K10" s="71"/>
      <c r="L10" s="72">
        <f>SUM(L7:L9)</f>
        <v>656</v>
      </c>
      <c r="M10" s="73">
        <f>SUM(M7:M9)</f>
        <v>656</v>
      </c>
      <c r="N10" s="74">
        <f>SUM(N7:N9)</f>
        <v>656</v>
      </c>
      <c r="P10" s="68"/>
      <c r="Q10" s="68"/>
    </row>
    <row r="11" spans="1:17" x14ac:dyDescent="0.3">
      <c r="A11" s="68"/>
      <c r="B11" s="68"/>
      <c r="C11" s="68"/>
      <c r="D11" s="68"/>
      <c r="E11" s="84"/>
      <c r="F11" s="84"/>
      <c r="G11" s="84"/>
      <c r="H11" s="84"/>
      <c r="I11" s="84"/>
      <c r="J11" s="84"/>
      <c r="K11" s="84"/>
      <c r="L11" s="85"/>
      <c r="M11" s="86"/>
      <c r="N11" s="87"/>
      <c r="P11" s="68"/>
      <c r="Q11" s="68"/>
    </row>
    <row r="12" spans="1:17" x14ac:dyDescent="0.3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88"/>
      <c r="M12" s="80"/>
      <c r="N12" s="89"/>
      <c r="P12" s="68"/>
      <c r="Q12" s="68"/>
    </row>
    <row r="13" spans="1:17" x14ac:dyDescent="0.3">
      <c r="A13" s="68"/>
      <c r="B13" s="68"/>
      <c r="C13" s="68"/>
      <c r="D13" s="68"/>
      <c r="E13" s="68"/>
      <c r="F13" s="68"/>
      <c r="G13" s="68"/>
      <c r="H13" s="90"/>
      <c r="I13" s="71"/>
      <c r="J13" s="71"/>
      <c r="K13" s="71"/>
      <c r="L13" s="72"/>
      <c r="M13" s="73"/>
      <c r="N13" s="74"/>
      <c r="P13" s="68"/>
      <c r="Q13" s="68"/>
    </row>
    <row r="14" spans="1:17" x14ac:dyDescent="0.3">
      <c r="A14" s="68"/>
      <c r="B14" s="68"/>
      <c r="C14" s="69"/>
      <c r="D14" s="68"/>
      <c r="E14" s="80" t="s">
        <v>125</v>
      </c>
      <c r="F14" s="80" t="s">
        <v>126</v>
      </c>
      <c r="G14" s="80" t="s">
        <v>127</v>
      </c>
      <c r="H14" s="90">
        <v>8000</v>
      </c>
      <c r="I14" s="91">
        <f>$H14*I7</f>
        <v>1552000</v>
      </c>
      <c r="J14" s="91"/>
      <c r="K14" s="91"/>
      <c r="L14" s="92">
        <f>$H14*L7</f>
        <v>1552000</v>
      </c>
      <c r="M14" s="93">
        <f>$H14*M7</f>
        <v>1552000</v>
      </c>
      <c r="N14" s="94">
        <f>$H14*N7</f>
        <v>1552000</v>
      </c>
      <c r="P14" s="68"/>
      <c r="Q14" s="68"/>
    </row>
    <row r="15" spans="1:17" x14ac:dyDescent="0.3">
      <c r="A15" s="68"/>
      <c r="B15" s="68"/>
      <c r="C15" s="68"/>
      <c r="D15" s="68"/>
      <c r="E15" s="80" t="s">
        <v>128</v>
      </c>
      <c r="F15" s="80" t="s">
        <v>129</v>
      </c>
      <c r="G15" s="80" t="s">
        <v>127</v>
      </c>
      <c r="H15" s="90">
        <v>6000</v>
      </c>
      <c r="I15" s="91">
        <f>$H15*I8</f>
        <v>1152000</v>
      </c>
      <c r="J15" s="91"/>
      <c r="K15" s="91"/>
      <c r="L15" s="92">
        <v>0</v>
      </c>
      <c r="M15" s="93">
        <f>$H15*M8</f>
        <v>1152000</v>
      </c>
      <c r="N15" s="94">
        <f>$H15*N8</f>
        <v>1152000</v>
      </c>
      <c r="P15" s="68"/>
      <c r="Q15" s="68"/>
    </row>
    <row r="16" spans="1:17" x14ac:dyDescent="0.3">
      <c r="A16" s="68"/>
      <c r="B16" s="68"/>
      <c r="C16" s="68"/>
      <c r="D16" s="68"/>
      <c r="E16" s="68" t="s">
        <v>130</v>
      </c>
      <c r="F16" s="68"/>
      <c r="G16" s="68"/>
      <c r="H16" s="90">
        <v>8000</v>
      </c>
      <c r="I16" s="91">
        <f>I9/$H9*$H16</f>
        <v>0</v>
      </c>
      <c r="J16" s="91"/>
      <c r="K16" s="91"/>
      <c r="L16" s="92">
        <f>$H16*L9</f>
        <v>2160000</v>
      </c>
      <c r="M16" s="93">
        <f>$H16*M9</f>
        <v>2160000</v>
      </c>
      <c r="N16" s="94">
        <f>$H16*N9</f>
        <v>2160000</v>
      </c>
      <c r="P16" s="68"/>
      <c r="Q16" s="68"/>
    </row>
    <row r="17" spans="1:17" x14ac:dyDescent="0.3">
      <c r="A17" s="68"/>
      <c r="B17" s="68"/>
      <c r="C17" s="68"/>
      <c r="D17" s="68"/>
      <c r="E17" s="68"/>
      <c r="F17" s="68"/>
      <c r="G17" s="68"/>
      <c r="H17" s="68"/>
      <c r="I17" s="76"/>
      <c r="J17" s="76"/>
      <c r="K17" s="76"/>
      <c r="L17" s="77"/>
      <c r="M17" s="78"/>
      <c r="N17" s="79"/>
      <c r="P17" s="68"/>
      <c r="Q17" s="68"/>
    </row>
    <row r="18" spans="1:17" ht="15.6" x14ac:dyDescent="0.3">
      <c r="A18" s="68"/>
      <c r="B18" s="68"/>
      <c r="C18" s="68"/>
      <c r="D18" s="68"/>
      <c r="E18" s="82" t="s">
        <v>132</v>
      </c>
      <c r="F18" s="83"/>
      <c r="G18" s="83"/>
      <c r="H18" s="83"/>
      <c r="I18" s="95">
        <f>SUM(I14:I16)/1000000</f>
        <v>2.7040000000000002</v>
      </c>
      <c r="J18" s="95"/>
      <c r="K18" s="95"/>
      <c r="L18" s="96">
        <f>SUM(L14:L16)/1000000</f>
        <v>3.7120000000000002</v>
      </c>
      <c r="M18" s="97">
        <f>SUM(M14:M16)/1000000</f>
        <v>4.8639999999999999</v>
      </c>
      <c r="N18" s="98">
        <f>SUM(N14:N16)/1000000</f>
        <v>4.8639999999999999</v>
      </c>
      <c r="P18" s="68"/>
      <c r="Q18" s="68"/>
    </row>
    <row r="19" spans="1:17" x14ac:dyDescent="0.3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88"/>
      <c r="M19" s="80"/>
      <c r="N19" s="89"/>
      <c r="P19" s="68"/>
      <c r="Q19" s="68"/>
    </row>
    <row r="20" spans="1:17" x14ac:dyDescent="0.3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88"/>
      <c r="M20" s="80"/>
      <c r="N20" s="89"/>
      <c r="P20" s="68"/>
      <c r="Q20" s="68"/>
    </row>
    <row r="21" spans="1:17" x14ac:dyDescent="0.3">
      <c r="A21" s="68"/>
      <c r="B21" s="68"/>
      <c r="C21" s="68"/>
      <c r="D21" s="68"/>
      <c r="E21" s="83" t="s">
        <v>133</v>
      </c>
      <c r="F21" s="99"/>
      <c r="G21" s="99"/>
      <c r="H21" s="70"/>
      <c r="I21" s="71"/>
      <c r="J21" s="71"/>
      <c r="K21" s="71"/>
      <c r="L21" s="72"/>
      <c r="M21" s="73"/>
      <c r="N21" s="74"/>
      <c r="P21" s="68"/>
    </row>
    <row r="22" spans="1:17" x14ac:dyDescent="0.3">
      <c r="A22" s="68"/>
      <c r="B22" s="68"/>
      <c r="C22" s="68"/>
      <c r="D22" s="68"/>
      <c r="E22" s="80" t="s">
        <v>125</v>
      </c>
      <c r="F22" s="80" t="s">
        <v>126</v>
      </c>
      <c r="G22" s="80" t="s">
        <v>127</v>
      </c>
      <c r="H22" s="68"/>
      <c r="I22" s="100">
        <f>I14/$H7/$B$6/1000000</f>
        <v>1.8476190476190473</v>
      </c>
      <c r="J22" s="100"/>
      <c r="K22" s="100"/>
      <c r="L22" s="101">
        <f t="shared" ref="L22:N23" si="0">L14/$H7/$B$6/1000000</f>
        <v>1.8476190476190473</v>
      </c>
      <c r="M22" s="102">
        <f t="shared" si="0"/>
        <v>1.8476190476190473</v>
      </c>
      <c r="N22" s="103">
        <f t="shared" si="0"/>
        <v>1.8476190476190473</v>
      </c>
      <c r="P22" s="68"/>
    </row>
    <row r="23" spans="1:17" x14ac:dyDescent="0.3">
      <c r="A23" s="68"/>
      <c r="B23" s="68"/>
      <c r="C23" s="68"/>
      <c r="D23" s="68"/>
      <c r="E23" s="80" t="s">
        <v>128</v>
      </c>
      <c r="F23" s="80" t="s">
        <v>129</v>
      </c>
      <c r="G23" s="80" t="s">
        <v>127</v>
      </c>
      <c r="H23" s="68"/>
      <c r="I23" s="100">
        <f>I15/$H8/$B$6/1000000</f>
        <v>1.3714285714285714</v>
      </c>
      <c r="J23" s="100"/>
      <c r="K23" s="100"/>
      <c r="L23" s="101">
        <f t="shared" si="0"/>
        <v>0</v>
      </c>
      <c r="M23" s="102">
        <f t="shared" si="0"/>
        <v>1.3714285714285714</v>
      </c>
      <c r="N23" s="103">
        <f t="shared" si="0"/>
        <v>1.3714285714285714</v>
      </c>
      <c r="P23" s="68"/>
    </row>
    <row r="24" spans="1:17" x14ac:dyDescent="0.3">
      <c r="A24" s="68"/>
      <c r="B24" s="68"/>
      <c r="C24" s="68"/>
      <c r="D24" s="68"/>
      <c r="E24" s="68" t="s">
        <v>128</v>
      </c>
      <c r="F24" s="68" t="s">
        <v>134</v>
      </c>
      <c r="G24" s="68"/>
      <c r="H24" s="68"/>
      <c r="I24" s="100"/>
      <c r="J24" s="100"/>
      <c r="K24" s="100"/>
      <c r="L24" s="101"/>
      <c r="M24" s="102"/>
      <c r="N24" s="103"/>
      <c r="P24" s="68"/>
      <c r="Q24" s="68"/>
    </row>
    <row r="25" spans="1:17" x14ac:dyDescent="0.3">
      <c r="A25" s="68"/>
      <c r="B25" s="68"/>
      <c r="C25" s="68"/>
      <c r="D25" s="68"/>
      <c r="E25" s="68" t="s">
        <v>130</v>
      </c>
      <c r="F25" s="80"/>
      <c r="G25" s="80" t="s">
        <v>127</v>
      </c>
      <c r="H25" s="68"/>
      <c r="I25" s="100">
        <f>I16/$H9/$B$6/1000000</f>
        <v>0</v>
      </c>
      <c r="J25" s="100"/>
      <c r="K25" s="100"/>
      <c r="L25" s="101">
        <f>L16/$H9/$B$6/1000000</f>
        <v>2.4360902255639099</v>
      </c>
      <c r="M25" s="102">
        <f>M16/$H9/$B$6/1000000</f>
        <v>2.4360902255639099</v>
      </c>
      <c r="N25" s="103">
        <f>N16/$H9/$B$6/1000000</f>
        <v>2.4360902255639099</v>
      </c>
      <c r="P25" s="68"/>
      <c r="Q25" s="68"/>
    </row>
    <row r="26" spans="1:17" ht="21" x14ac:dyDescent="0.4">
      <c r="A26" s="68"/>
      <c r="B26" s="68"/>
      <c r="C26" s="68"/>
      <c r="D26" s="68"/>
      <c r="E26" s="82" t="s">
        <v>135</v>
      </c>
      <c r="F26" s="99"/>
      <c r="G26" s="99"/>
      <c r="H26" s="99"/>
      <c r="I26" s="104">
        <f>SUM(I22:I25)</f>
        <v>3.2190476190476187</v>
      </c>
      <c r="J26" s="104"/>
      <c r="K26" s="128"/>
      <c r="L26" s="125">
        <f>SUM(L22:L25)</f>
        <v>4.2837092731829571</v>
      </c>
      <c r="M26" s="126">
        <f>SUM(M22:M25)</f>
        <v>5.655137844611529</v>
      </c>
      <c r="N26" s="127">
        <f>SUM(N22:N25)</f>
        <v>5.655137844611529</v>
      </c>
      <c r="P26" s="68"/>
      <c r="Q26" s="68"/>
    </row>
    <row r="27" spans="1:17" ht="21" x14ac:dyDescent="0.4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129"/>
      <c r="M27" s="130"/>
      <c r="N27" s="131"/>
      <c r="P27" s="68"/>
      <c r="Q27" s="68"/>
    </row>
    <row r="28" spans="1:17" ht="21" x14ac:dyDescent="0.4">
      <c r="A28" s="68"/>
      <c r="B28" s="68"/>
      <c r="C28" s="68"/>
      <c r="D28" s="68"/>
      <c r="E28" s="82" t="s">
        <v>136</v>
      </c>
      <c r="F28" s="68"/>
      <c r="G28" s="68"/>
      <c r="H28" s="68"/>
      <c r="I28" s="68"/>
      <c r="J28" s="68"/>
      <c r="K28" s="68"/>
      <c r="L28" s="125">
        <f>L26/1.2</f>
        <v>3.5697577276524646</v>
      </c>
      <c r="M28" s="126">
        <f t="shared" ref="M28:N28" si="1">M26/1.2</f>
        <v>4.7126148705096078</v>
      </c>
      <c r="N28" s="127">
        <f t="shared" si="1"/>
        <v>4.7126148705096078</v>
      </c>
      <c r="P28" s="68"/>
      <c r="Q28" s="68"/>
    </row>
    <row r="29" spans="1:17" x14ac:dyDescent="0.3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88"/>
      <c r="M29" s="80"/>
      <c r="N29" s="89"/>
      <c r="P29" s="68"/>
      <c r="Q29" s="68"/>
    </row>
    <row r="30" spans="1:17" x14ac:dyDescent="0.3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88"/>
      <c r="M30" s="80"/>
      <c r="N30" s="89"/>
      <c r="P30" s="68"/>
      <c r="Q30" s="68"/>
    </row>
    <row r="31" spans="1:17" x14ac:dyDescent="0.3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88"/>
      <c r="M31" s="80"/>
      <c r="N31" s="89"/>
      <c r="P31" s="68"/>
      <c r="Q31" s="68"/>
    </row>
    <row r="32" spans="1:17" x14ac:dyDescent="0.3">
      <c r="A32" s="68"/>
      <c r="B32" s="68"/>
      <c r="C32" s="68"/>
      <c r="D32" s="68"/>
      <c r="E32" s="83" t="s">
        <v>137</v>
      </c>
      <c r="F32" s="99"/>
      <c r="G32" s="99"/>
      <c r="H32" s="70"/>
      <c r="I32" s="71">
        <v>2012</v>
      </c>
      <c r="J32" s="71"/>
      <c r="K32" s="71"/>
      <c r="L32" s="72"/>
      <c r="M32" s="73"/>
      <c r="N32" s="74"/>
      <c r="P32" s="68"/>
      <c r="Q32" s="68"/>
    </row>
    <row r="33" spans="1:17" ht="12.75" customHeight="1" x14ac:dyDescent="0.3">
      <c r="A33" s="68"/>
      <c r="B33" s="68"/>
      <c r="C33" s="68"/>
      <c r="D33" s="68"/>
      <c r="E33" s="80" t="s">
        <v>125</v>
      </c>
      <c r="F33" s="80" t="s">
        <v>126</v>
      </c>
      <c r="G33" s="80" t="s">
        <v>127</v>
      </c>
      <c r="H33" s="68"/>
      <c r="I33" s="91">
        <f>I22*1000000*8.4/1000</f>
        <v>15519.999999999998</v>
      </c>
      <c r="J33" s="91"/>
      <c r="K33" s="91"/>
      <c r="L33" s="92">
        <f t="shared" ref="L33:N34" si="2">L22*1000000*8.4/1000</f>
        <v>15519.999999999998</v>
      </c>
      <c r="M33" s="93">
        <f t="shared" si="2"/>
        <v>15519.999999999998</v>
      </c>
      <c r="N33" s="94">
        <f t="shared" si="2"/>
        <v>15519.999999999998</v>
      </c>
      <c r="P33" s="68"/>
      <c r="Q33" s="68"/>
    </row>
    <row r="34" spans="1:17" x14ac:dyDescent="0.3">
      <c r="A34" s="68"/>
      <c r="B34" s="68"/>
      <c r="C34" s="68"/>
      <c r="D34" s="68"/>
      <c r="E34" s="80" t="s">
        <v>128</v>
      </c>
      <c r="F34" s="80" t="s">
        <v>129</v>
      </c>
      <c r="G34" s="80" t="s">
        <v>127</v>
      </c>
      <c r="H34" s="68"/>
      <c r="I34" s="91">
        <f>I23*1000000*8.4/1000</f>
        <v>11520</v>
      </c>
      <c r="J34" s="91"/>
      <c r="K34" s="91"/>
      <c r="L34" s="92">
        <f t="shared" si="2"/>
        <v>0</v>
      </c>
      <c r="M34" s="93">
        <f t="shared" si="2"/>
        <v>11520</v>
      </c>
      <c r="N34" s="94">
        <f t="shared" si="2"/>
        <v>11520</v>
      </c>
      <c r="P34" s="68"/>
      <c r="Q34" s="68"/>
    </row>
    <row r="35" spans="1:17" ht="15.6" x14ac:dyDescent="0.3">
      <c r="A35" s="68"/>
      <c r="B35" s="68"/>
      <c r="C35" s="68"/>
      <c r="D35" s="68"/>
      <c r="E35" s="105" t="s">
        <v>138</v>
      </c>
      <c r="F35" s="68"/>
      <c r="G35" s="68"/>
      <c r="H35" s="68"/>
      <c r="I35" s="106">
        <f>SUM(I33:I34)</f>
        <v>27040</v>
      </c>
      <c r="J35" s="106"/>
      <c r="K35" s="106"/>
      <c r="L35" s="107">
        <f>SUM(L33:L34)</f>
        <v>15519.999999999998</v>
      </c>
      <c r="M35" s="108">
        <f>SUM(M33:M34)</f>
        <v>27040</v>
      </c>
      <c r="N35" s="109">
        <f>SUM(N33:N34)</f>
        <v>27040</v>
      </c>
      <c r="P35" s="68"/>
      <c r="Q35" s="68"/>
    </row>
    <row r="36" spans="1:17" x14ac:dyDescent="0.3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88"/>
      <c r="M36" s="80"/>
      <c r="N36" s="89"/>
      <c r="P36" s="68"/>
      <c r="Q36" s="68"/>
    </row>
    <row r="37" spans="1:17" x14ac:dyDescent="0.3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88"/>
      <c r="M37" s="80"/>
      <c r="N37" s="89"/>
      <c r="P37" s="68"/>
      <c r="Q37" s="68"/>
    </row>
    <row r="38" spans="1:17" x14ac:dyDescent="0.3">
      <c r="L38" s="110"/>
      <c r="N38" s="111"/>
    </row>
    <row r="39" spans="1:17" x14ac:dyDescent="0.3">
      <c r="L39" s="110"/>
      <c r="N39" s="111"/>
    </row>
    <row r="40" spans="1:17" x14ac:dyDescent="0.3">
      <c r="J40" s="37"/>
      <c r="K40" s="37" t="s">
        <v>139</v>
      </c>
      <c r="L40" s="112"/>
      <c r="M40" s="62"/>
      <c r="N40" s="113"/>
    </row>
    <row r="41" spans="1:17" x14ac:dyDescent="0.3">
      <c r="J41" s="37"/>
      <c r="K41" s="37" t="s">
        <v>122</v>
      </c>
      <c r="L41" s="112"/>
      <c r="M41" s="62"/>
      <c r="N41" s="113"/>
    </row>
    <row r="42" spans="1:17" x14ac:dyDescent="0.3">
      <c r="J42" s="37" t="s">
        <v>140</v>
      </c>
      <c r="K42" s="37">
        <v>12.5</v>
      </c>
      <c r="L42" s="112">
        <v>1695</v>
      </c>
      <c r="M42" s="62">
        <v>1695</v>
      </c>
      <c r="N42" s="113">
        <v>1695</v>
      </c>
    </row>
    <row r="43" spans="1:17" x14ac:dyDescent="0.3">
      <c r="B43" s="114"/>
      <c r="C43" s="115"/>
      <c r="D43" s="116"/>
      <c r="E43" s="115"/>
      <c r="J43" s="37" t="s">
        <v>141</v>
      </c>
      <c r="K43" s="37">
        <v>8.3000000000000007</v>
      </c>
      <c r="L43" s="112">
        <v>1005</v>
      </c>
      <c r="M43" s="62">
        <v>1005</v>
      </c>
      <c r="N43" s="113">
        <v>1005</v>
      </c>
    </row>
    <row r="44" spans="1:17" x14ac:dyDescent="0.3">
      <c r="B44" s="114"/>
      <c r="C44" s="115"/>
      <c r="D44" s="116"/>
      <c r="E44" s="115"/>
      <c r="J44" s="37" t="s">
        <v>142</v>
      </c>
      <c r="K44" s="37">
        <v>8.3000000000000007</v>
      </c>
      <c r="L44" s="112">
        <v>1005</v>
      </c>
      <c r="M44" s="62">
        <v>1005</v>
      </c>
      <c r="N44" s="113">
        <v>1005</v>
      </c>
    </row>
    <row r="45" spans="1:17" x14ac:dyDescent="0.3">
      <c r="J45" s="37" t="s">
        <v>143</v>
      </c>
      <c r="K45" s="37">
        <v>8.3000000000000007</v>
      </c>
      <c r="L45" s="112">
        <v>1005</v>
      </c>
      <c r="M45" s="62">
        <v>1005</v>
      </c>
      <c r="N45" s="113">
        <v>1005</v>
      </c>
    </row>
    <row r="46" spans="1:17" x14ac:dyDescent="0.3">
      <c r="J46" s="37" t="s">
        <v>144</v>
      </c>
      <c r="K46" s="37">
        <v>8.3000000000000007</v>
      </c>
      <c r="L46" s="112"/>
      <c r="M46" s="62"/>
      <c r="N46" s="113">
        <v>1005</v>
      </c>
    </row>
    <row r="47" spans="1:17" x14ac:dyDescent="0.3">
      <c r="J47" s="37"/>
      <c r="K47" s="37"/>
      <c r="L47" s="112"/>
      <c r="M47" s="62"/>
      <c r="N47" s="113"/>
    </row>
    <row r="48" spans="1:17" x14ac:dyDescent="0.3">
      <c r="J48" s="37" t="s">
        <v>145</v>
      </c>
      <c r="K48" s="37">
        <v>8.3000000000000007</v>
      </c>
      <c r="L48" s="112"/>
      <c r="M48" s="62">
        <v>920</v>
      </c>
      <c r="N48" s="113">
        <v>920</v>
      </c>
    </row>
    <row r="49" spans="10:14" x14ac:dyDescent="0.3">
      <c r="J49" s="37" t="s">
        <v>145</v>
      </c>
      <c r="K49" s="37">
        <v>8.3000000000000007</v>
      </c>
      <c r="L49" s="112">
        <v>920</v>
      </c>
      <c r="M49" s="62">
        <v>920</v>
      </c>
      <c r="N49" s="113">
        <v>920</v>
      </c>
    </row>
    <row r="50" spans="10:14" x14ac:dyDescent="0.3">
      <c r="J50" s="37" t="s">
        <v>146</v>
      </c>
      <c r="K50" s="37">
        <v>8.3000000000000007</v>
      </c>
      <c r="L50" s="112">
        <v>2010</v>
      </c>
      <c r="M50" s="62">
        <v>2010</v>
      </c>
      <c r="N50" s="113">
        <v>2010</v>
      </c>
    </row>
    <row r="51" spans="10:14" x14ac:dyDescent="0.3">
      <c r="J51" s="37" t="s">
        <v>147</v>
      </c>
      <c r="K51" s="37">
        <v>8.3000000000000007</v>
      </c>
      <c r="L51" s="112">
        <v>2010</v>
      </c>
      <c r="M51" s="62">
        <v>2010</v>
      </c>
      <c r="N51" s="113">
        <v>2010</v>
      </c>
    </row>
    <row r="52" spans="10:14" x14ac:dyDescent="0.3">
      <c r="J52" s="37" t="s">
        <v>148</v>
      </c>
      <c r="K52" s="37">
        <v>8.3000000000000007</v>
      </c>
      <c r="L52" s="112">
        <v>2010</v>
      </c>
      <c r="M52" s="62">
        <v>2010</v>
      </c>
      <c r="N52" s="113">
        <v>2010</v>
      </c>
    </row>
    <row r="53" spans="10:14" x14ac:dyDescent="0.3">
      <c r="J53" s="37" t="s">
        <v>149</v>
      </c>
      <c r="K53" s="37">
        <v>8.3000000000000007</v>
      </c>
      <c r="L53" s="112">
        <v>2010</v>
      </c>
      <c r="M53" s="62">
        <v>2010</v>
      </c>
      <c r="N53" s="113">
        <v>2010</v>
      </c>
    </row>
    <row r="54" spans="10:14" x14ac:dyDescent="0.3">
      <c r="J54" s="62" t="s">
        <v>150</v>
      </c>
      <c r="K54" s="37">
        <v>8.3000000000000007</v>
      </c>
      <c r="L54" s="112">
        <v>2010</v>
      </c>
      <c r="M54" s="62">
        <v>2010</v>
      </c>
      <c r="N54" s="113">
        <v>2010</v>
      </c>
    </row>
    <row r="55" spans="10:14" x14ac:dyDescent="0.3">
      <c r="J55" s="37" t="s">
        <v>151</v>
      </c>
      <c r="K55" s="37">
        <v>8.3000000000000007</v>
      </c>
      <c r="L55" s="112">
        <v>2010</v>
      </c>
      <c r="M55" s="62"/>
      <c r="N55" s="113">
        <v>2010</v>
      </c>
    </row>
    <row r="56" spans="10:14" x14ac:dyDescent="0.3">
      <c r="J56" s="37" t="s">
        <v>152</v>
      </c>
      <c r="K56" s="37">
        <v>8.3000000000000007</v>
      </c>
      <c r="L56" s="112">
        <v>2010</v>
      </c>
      <c r="M56" s="62"/>
      <c r="N56" s="113">
        <v>2010</v>
      </c>
    </row>
    <row r="57" spans="10:14" x14ac:dyDescent="0.3">
      <c r="J57" s="113" t="s">
        <v>153</v>
      </c>
      <c r="K57" s="113">
        <v>8.3000000000000007</v>
      </c>
      <c r="L57" s="112">
        <v>2010</v>
      </c>
      <c r="M57" s="113"/>
      <c r="N57" s="113">
        <v>2010</v>
      </c>
    </row>
    <row r="58" spans="10:14" x14ac:dyDescent="0.3">
      <c r="J58" s="117" t="s">
        <v>154</v>
      </c>
      <c r="K58" s="117">
        <v>8.3000000000000007</v>
      </c>
      <c r="L58" s="112"/>
      <c r="M58" s="117"/>
      <c r="N58" s="117"/>
    </row>
    <row r="59" spans="10:14" x14ac:dyDescent="0.3">
      <c r="J59" s="37" t="s">
        <v>155</v>
      </c>
      <c r="K59" s="37">
        <v>9</v>
      </c>
      <c r="L59" s="112">
        <v>450</v>
      </c>
      <c r="M59" s="62">
        <v>450</v>
      </c>
      <c r="N59" s="113">
        <v>450</v>
      </c>
    </row>
    <row r="60" spans="10:14" x14ac:dyDescent="0.3">
      <c r="J60" s="37" t="s">
        <v>156</v>
      </c>
      <c r="K60" s="37">
        <v>8.3000000000000007</v>
      </c>
      <c r="L60" s="112">
        <v>150</v>
      </c>
      <c r="M60" s="62">
        <v>150</v>
      </c>
      <c r="N60" s="113">
        <v>150</v>
      </c>
    </row>
    <row r="62" spans="10:14" ht="28.8" x14ac:dyDescent="0.3">
      <c r="J62" s="59"/>
      <c r="K62" s="59"/>
      <c r="L62" s="66" t="s">
        <v>157</v>
      </c>
      <c r="M62" s="66" t="s">
        <v>158</v>
      </c>
      <c r="N62" s="66" t="s">
        <v>159</v>
      </c>
    </row>
    <row r="63" spans="10:14" ht="43.2" x14ac:dyDescent="0.3">
      <c r="J63" s="59" t="s">
        <v>160</v>
      </c>
      <c r="K63" s="66"/>
      <c r="L63" s="66" t="s">
        <v>161</v>
      </c>
      <c r="M63" s="66" t="s">
        <v>161</v>
      </c>
      <c r="N63" s="66" t="s">
        <v>161</v>
      </c>
    </row>
    <row r="64" spans="10:14" x14ac:dyDescent="0.3">
      <c r="J64" s="59" t="s">
        <v>162</v>
      </c>
      <c r="K64" s="66"/>
      <c r="L64" s="112">
        <f>$K$42*L42</f>
        <v>21187.5</v>
      </c>
      <c r="M64" s="112">
        <f t="shared" ref="M64:N64" si="3">$K$42*M42</f>
        <v>21187.5</v>
      </c>
      <c r="N64" s="112">
        <f t="shared" si="3"/>
        <v>21187.5</v>
      </c>
    </row>
    <row r="65" spans="10:14" x14ac:dyDescent="0.3">
      <c r="J65" s="112" t="s">
        <v>141</v>
      </c>
      <c r="K65" s="112"/>
      <c r="L65" s="112">
        <f t="shared" ref="L65:N69" si="4">$K$43*L43</f>
        <v>8341.5</v>
      </c>
      <c r="M65" s="62">
        <f t="shared" si="4"/>
        <v>8341.5</v>
      </c>
      <c r="N65" s="37">
        <f t="shared" si="4"/>
        <v>8341.5</v>
      </c>
    </row>
    <row r="66" spans="10:14" x14ac:dyDescent="0.3">
      <c r="J66" s="112" t="s">
        <v>142</v>
      </c>
      <c r="K66" s="112"/>
      <c r="L66" s="112">
        <f t="shared" si="4"/>
        <v>8341.5</v>
      </c>
      <c r="M66" s="62">
        <f t="shared" si="4"/>
        <v>8341.5</v>
      </c>
      <c r="N66" s="37">
        <f t="shared" si="4"/>
        <v>8341.5</v>
      </c>
    </row>
    <row r="67" spans="10:14" x14ac:dyDescent="0.3">
      <c r="J67" s="112" t="s">
        <v>143</v>
      </c>
      <c r="K67" s="112"/>
      <c r="L67" s="112">
        <f t="shared" si="4"/>
        <v>8341.5</v>
      </c>
      <c r="M67" s="62">
        <f t="shared" si="4"/>
        <v>8341.5</v>
      </c>
      <c r="N67" s="37">
        <f t="shared" si="4"/>
        <v>8341.5</v>
      </c>
    </row>
    <row r="68" spans="10:14" x14ac:dyDescent="0.3">
      <c r="J68" s="112" t="s">
        <v>163</v>
      </c>
      <c r="K68" s="112"/>
      <c r="L68" s="112">
        <f t="shared" si="4"/>
        <v>0</v>
      </c>
      <c r="M68" s="62">
        <f t="shared" si="4"/>
        <v>0</v>
      </c>
      <c r="N68" s="37">
        <f t="shared" si="4"/>
        <v>8341.5</v>
      </c>
    </row>
    <row r="69" spans="10:14" x14ac:dyDescent="0.3">
      <c r="J69" s="112"/>
      <c r="K69" s="112"/>
      <c r="L69" s="112">
        <f t="shared" si="4"/>
        <v>0</v>
      </c>
      <c r="M69" s="62">
        <f t="shared" si="4"/>
        <v>0</v>
      </c>
      <c r="N69" s="37">
        <f t="shared" si="4"/>
        <v>0</v>
      </c>
    </row>
    <row r="70" spans="10:14" x14ac:dyDescent="0.3">
      <c r="J70" s="112" t="s">
        <v>145</v>
      </c>
      <c r="K70" s="112"/>
      <c r="L70" s="112">
        <f t="shared" ref="L70:N74" si="5">$K$48*L48</f>
        <v>0</v>
      </c>
      <c r="M70" s="62">
        <f t="shared" si="5"/>
        <v>7636.0000000000009</v>
      </c>
      <c r="N70" s="37">
        <f t="shared" si="5"/>
        <v>7636.0000000000009</v>
      </c>
    </row>
    <row r="71" spans="10:14" x14ac:dyDescent="0.3">
      <c r="J71" s="112" t="s">
        <v>145</v>
      </c>
      <c r="K71" s="112"/>
      <c r="L71" s="112">
        <f t="shared" si="5"/>
        <v>7636.0000000000009</v>
      </c>
      <c r="M71" s="62">
        <f t="shared" si="5"/>
        <v>7636.0000000000009</v>
      </c>
      <c r="N71" s="37">
        <f t="shared" si="5"/>
        <v>7636.0000000000009</v>
      </c>
    </row>
    <row r="72" spans="10:14" x14ac:dyDescent="0.3">
      <c r="J72" s="112" t="s">
        <v>146</v>
      </c>
      <c r="K72" s="112"/>
      <c r="L72" s="112">
        <f t="shared" si="5"/>
        <v>16683</v>
      </c>
      <c r="M72" s="62">
        <f t="shared" si="5"/>
        <v>16683</v>
      </c>
      <c r="N72" s="37">
        <f t="shared" si="5"/>
        <v>16683</v>
      </c>
    </row>
    <row r="73" spans="10:14" x14ac:dyDescent="0.3">
      <c r="J73" s="112" t="s">
        <v>147</v>
      </c>
      <c r="K73" s="112"/>
      <c r="L73" s="112">
        <f t="shared" si="5"/>
        <v>16683</v>
      </c>
      <c r="M73" s="62">
        <f t="shared" si="5"/>
        <v>16683</v>
      </c>
      <c r="N73" s="37">
        <f t="shared" si="5"/>
        <v>16683</v>
      </c>
    </row>
    <row r="74" spans="10:14" x14ac:dyDescent="0.3">
      <c r="J74" s="112" t="s">
        <v>148</v>
      </c>
      <c r="K74" s="112"/>
      <c r="L74" s="112">
        <f t="shared" si="5"/>
        <v>16683</v>
      </c>
      <c r="M74" s="62">
        <f t="shared" si="5"/>
        <v>16683</v>
      </c>
      <c r="N74" s="37">
        <f t="shared" si="5"/>
        <v>16683</v>
      </c>
    </row>
    <row r="75" spans="10:14" x14ac:dyDescent="0.3">
      <c r="J75" s="37" t="s">
        <v>149</v>
      </c>
      <c r="K75" s="37"/>
      <c r="L75" s="37"/>
      <c r="M75" s="62">
        <f t="shared" ref="M75:N79" si="6">$K$48*M53</f>
        <v>16683</v>
      </c>
      <c r="N75" s="37">
        <f t="shared" si="6"/>
        <v>16683</v>
      </c>
    </row>
    <row r="76" spans="10:14" x14ac:dyDescent="0.3">
      <c r="J76" s="62" t="s">
        <v>150</v>
      </c>
      <c r="K76" s="62"/>
      <c r="L76" s="62"/>
      <c r="M76" s="62">
        <f t="shared" si="6"/>
        <v>16683</v>
      </c>
      <c r="N76" s="37">
        <f t="shared" si="6"/>
        <v>16683</v>
      </c>
    </row>
    <row r="77" spans="10:14" x14ac:dyDescent="0.3">
      <c r="J77" s="37" t="s">
        <v>151</v>
      </c>
      <c r="K77" s="37"/>
      <c r="L77" s="37"/>
      <c r="M77" s="37">
        <f t="shared" si="6"/>
        <v>0</v>
      </c>
      <c r="N77" s="37">
        <f t="shared" si="6"/>
        <v>16683</v>
      </c>
    </row>
    <row r="78" spans="10:14" x14ac:dyDescent="0.3">
      <c r="J78" s="37" t="s">
        <v>152</v>
      </c>
      <c r="K78" s="37"/>
      <c r="L78" s="37"/>
      <c r="M78" s="37">
        <f t="shared" si="6"/>
        <v>0</v>
      </c>
      <c r="N78" s="37">
        <f t="shared" si="6"/>
        <v>16683</v>
      </c>
    </row>
    <row r="79" spans="10:14" x14ac:dyDescent="0.3">
      <c r="J79" s="37" t="s">
        <v>164</v>
      </c>
      <c r="K79" s="37"/>
      <c r="L79" s="37"/>
      <c r="M79" s="37">
        <f t="shared" si="6"/>
        <v>0</v>
      </c>
      <c r="N79" s="37">
        <f t="shared" si="6"/>
        <v>16683</v>
      </c>
    </row>
    <row r="80" spans="10:14" x14ac:dyDescent="0.3">
      <c r="J80" s="37" t="s">
        <v>154</v>
      </c>
      <c r="K80" s="37"/>
      <c r="L80" s="37">
        <f>$K$48*L58</f>
        <v>0</v>
      </c>
      <c r="M80" s="37"/>
      <c r="N80" s="37"/>
    </row>
    <row r="81" spans="2:14" x14ac:dyDescent="0.3">
      <c r="J81" s="37" t="s">
        <v>155</v>
      </c>
      <c r="K81" s="37"/>
      <c r="L81" s="37">
        <f t="shared" ref="L81:N82" si="7">$K$59*L59</f>
        <v>4050</v>
      </c>
      <c r="M81" s="37">
        <f t="shared" si="7"/>
        <v>4050</v>
      </c>
      <c r="N81" s="37">
        <f t="shared" si="7"/>
        <v>4050</v>
      </c>
    </row>
    <row r="82" spans="2:14" x14ac:dyDescent="0.3">
      <c r="J82" s="37" t="s">
        <v>156</v>
      </c>
      <c r="K82" s="37"/>
      <c r="L82" s="37">
        <f t="shared" si="7"/>
        <v>1350</v>
      </c>
      <c r="M82" s="37">
        <f t="shared" si="7"/>
        <v>1350</v>
      </c>
      <c r="N82" s="37">
        <f t="shared" si="7"/>
        <v>1350</v>
      </c>
    </row>
    <row r="83" spans="2:14" x14ac:dyDescent="0.3">
      <c r="J83" s="37"/>
      <c r="K83" s="37"/>
      <c r="L83" s="37"/>
      <c r="M83" s="37"/>
      <c r="N83" s="37"/>
    </row>
    <row r="84" spans="2:14" x14ac:dyDescent="0.3">
      <c r="J84" s="37" t="s">
        <v>165</v>
      </c>
      <c r="K84" s="37"/>
      <c r="L84" s="37">
        <f>SUM(L64:L82)</f>
        <v>109297</v>
      </c>
      <c r="M84" s="37">
        <f t="shared" ref="M84:N84" si="8">SUM(M64:M82)</f>
        <v>150299</v>
      </c>
      <c r="N84" s="37">
        <f t="shared" si="8"/>
        <v>208689.5</v>
      </c>
    </row>
    <row r="86" spans="2:14" ht="43.2" x14ac:dyDescent="0.3">
      <c r="J86" s="118" t="s">
        <v>166</v>
      </c>
      <c r="K86" s="119"/>
      <c r="L86" s="120">
        <f>L84/(8.4*1000)</f>
        <v>13.011547619047619</v>
      </c>
      <c r="M86" s="120">
        <f t="shared" ref="M86:N86" si="9">M84/(8.4*1000)</f>
        <v>17.892738095238094</v>
      </c>
      <c r="N86" s="120">
        <f t="shared" si="9"/>
        <v>24.843988095238096</v>
      </c>
    </row>
    <row r="87" spans="2:14" ht="28.8" x14ac:dyDescent="0.3">
      <c r="J87" s="132" t="s">
        <v>167</v>
      </c>
      <c r="K87" s="133"/>
      <c r="L87" s="134">
        <f>L86/1.2</f>
        <v>10.84295634920635</v>
      </c>
      <c r="M87" s="134">
        <f>M86/1.2</f>
        <v>14.91061507936508</v>
      </c>
      <c r="N87" s="134">
        <f>N86/1.2</f>
        <v>20.703323412698413</v>
      </c>
    </row>
    <row r="88" spans="2:14" ht="30" x14ac:dyDescent="0.4">
      <c r="J88" s="135" t="s">
        <v>168</v>
      </c>
      <c r="K88" s="133"/>
      <c r="L88" s="136">
        <f>L26+L86</f>
        <v>17.295256892230576</v>
      </c>
      <c r="M88" s="136">
        <f>M26+M86</f>
        <v>23.547875939849625</v>
      </c>
      <c r="N88" s="136">
        <f>N26+N86</f>
        <v>30.499125939849627</v>
      </c>
    </row>
    <row r="89" spans="2:14" ht="44.4" x14ac:dyDescent="0.4">
      <c r="J89" s="135" t="s">
        <v>169</v>
      </c>
      <c r="K89" s="137"/>
      <c r="L89" s="138">
        <f>L88/1.2</f>
        <v>14.412714076858814</v>
      </c>
      <c r="M89" s="138">
        <f>M88/1.2</f>
        <v>19.623229949874688</v>
      </c>
      <c r="N89" s="138">
        <f t="shared" ref="N89" si="10">N88/1.2</f>
        <v>25.415938283208025</v>
      </c>
    </row>
    <row r="90" spans="2:14" x14ac:dyDescent="0.3">
      <c r="M90" s="121"/>
    </row>
    <row r="91" spans="2:14" x14ac:dyDescent="0.3">
      <c r="J91" s="23" t="s">
        <v>170</v>
      </c>
    </row>
    <row r="92" spans="2:14" x14ac:dyDescent="0.3">
      <c r="J92" s="23" t="s">
        <v>171</v>
      </c>
    </row>
    <row r="93" spans="2:14" x14ac:dyDescent="0.3">
      <c r="J93" s="37" t="s">
        <v>140</v>
      </c>
    </row>
    <row r="94" spans="2:14" x14ac:dyDescent="0.3">
      <c r="J94" s="37" t="s">
        <v>141</v>
      </c>
      <c r="K94" s="116">
        <v>43000</v>
      </c>
    </row>
    <row r="95" spans="2:14" x14ac:dyDescent="0.3">
      <c r="B95" s="122"/>
      <c r="J95" s="37" t="s">
        <v>142</v>
      </c>
      <c r="K95" s="116">
        <v>43000</v>
      </c>
    </row>
    <row r="96" spans="2:14" x14ac:dyDescent="0.3">
      <c r="J96" s="37" t="s">
        <v>143</v>
      </c>
      <c r="K96" s="116">
        <v>43000</v>
      </c>
    </row>
    <row r="97" spans="10:11" x14ac:dyDescent="0.3">
      <c r="J97" s="37"/>
    </row>
    <row r="98" spans="10:11" x14ac:dyDescent="0.3">
      <c r="J98" s="37" t="s">
        <v>145</v>
      </c>
      <c r="K98" s="121">
        <v>43000</v>
      </c>
    </row>
    <row r="99" spans="10:11" x14ac:dyDescent="0.3">
      <c r="J99" s="37" t="s">
        <v>145</v>
      </c>
      <c r="K99" s="121">
        <v>43000</v>
      </c>
    </row>
    <row r="100" spans="10:11" x14ac:dyDescent="0.3">
      <c r="J100" s="37" t="s">
        <v>146</v>
      </c>
      <c r="K100" s="121">
        <v>43000</v>
      </c>
    </row>
    <row r="101" spans="10:11" x14ac:dyDescent="0.3">
      <c r="J101" s="37" t="s">
        <v>147</v>
      </c>
      <c r="K101" s="121">
        <v>43000</v>
      </c>
    </row>
    <row r="102" spans="10:11" x14ac:dyDescent="0.3">
      <c r="J102" s="37" t="s">
        <v>148</v>
      </c>
      <c r="K102" s="121">
        <v>43000</v>
      </c>
    </row>
    <row r="103" spans="10:11" x14ac:dyDescent="0.3">
      <c r="J103" s="123" t="s">
        <v>149</v>
      </c>
      <c r="K103" s="121">
        <v>43000</v>
      </c>
    </row>
    <row r="104" spans="10:11" x14ac:dyDescent="0.3">
      <c r="J104" s="123" t="s">
        <v>150</v>
      </c>
      <c r="K104" s="121">
        <v>43000</v>
      </c>
    </row>
    <row r="105" spans="10:11" x14ac:dyDescent="0.3">
      <c r="J105" s="123" t="s">
        <v>151</v>
      </c>
      <c r="K105" s="121">
        <v>43000</v>
      </c>
    </row>
    <row r="106" spans="10:11" x14ac:dyDescent="0.3">
      <c r="J106" s="123" t="s">
        <v>152</v>
      </c>
      <c r="K106" s="121">
        <v>43000</v>
      </c>
    </row>
    <row r="107" spans="10:11" x14ac:dyDescent="0.3">
      <c r="J107" s="123" t="s">
        <v>164</v>
      </c>
      <c r="K107" s="121">
        <v>43000</v>
      </c>
    </row>
    <row r="108" spans="10:11" x14ac:dyDescent="0.3">
      <c r="J108" s="123" t="s">
        <v>154</v>
      </c>
      <c r="K108" s="121">
        <v>43000</v>
      </c>
    </row>
    <row r="109" spans="10:11" x14ac:dyDescent="0.3">
      <c r="J109" s="37" t="s">
        <v>155</v>
      </c>
    </row>
    <row r="110" spans="10:11" x14ac:dyDescent="0.3">
      <c r="J110" s="37" t="s">
        <v>156</v>
      </c>
      <c r="K110" s="121">
        <f>1000*5.12</f>
        <v>5120</v>
      </c>
    </row>
    <row r="113" spans="10:10" x14ac:dyDescent="0.3">
      <c r="J113" s="23" t="s">
        <v>172</v>
      </c>
    </row>
    <row r="115" spans="10:10" x14ac:dyDescent="0.3">
      <c r="J115" s="37" t="s">
        <v>140</v>
      </c>
    </row>
    <row r="116" spans="10:10" x14ac:dyDescent="0.3">
      <c r="J116" s="37" t="s">
        <v>141</v>
      </c>
    </row>
    <row r="117" spans="10:10" x14ac:dyDescent="0.3">
      <c r="J117" s="37" t="s">
        <v>142</v>
      </c>
    </row>
    <row r="118" spans="10:10" x14ac:dyDescent="0.3">
      <c r="J118" s="37" t="s">
        <v>143</v>
      </c>
    </row>
    <row r="119" spans="10:10" x14ac:dyDescent="0.3">
      <c r="J119" s="37"/>
    </row>
    <row r="120" spans="10:10" x14ac:dyDescent="0.3">
      <c r="J120" s="37" t="s">
        <v>145</v>
      </c>
    </row>
    <row r="121" spans="10:10" x14ac:dyDescent="0.3">
      <c r="J121" s="37" t="s">
        <v>145</v>
      </c>
    </row>
    <row r="122" spans="10:10" x14ac:dyDescent="0.3">
      <c r="J122" s="37" t="s">
        <v>146</v>
      </c>
    </row>
    <row r="123" spans="10:10" x14ac:dyDescent="0.3">
      <c r="J123" s="37" t="s">
        <v>147</v>
      </c>
    </row>
    <row r="124" spans="10:10" x14ac:dyDescent="0.3">
      <c r="J124" s="37" t="s">
        <v>148</v>
      </c>
    </row>
    <row r="125" spans="10:10" x14ac:dyDescent="0.3">
      <c r="J125" s="37" t="s">
        <v>149</v>
      </c>
    </row>
    <row r="126" spans="10:10" x14ac:dyDescent="0.3">
      <c r="J126" s="62" t="s">
        <v>150</v>
      </c>
    </row>
    <row r="127" spans="10:10" x14ac:dyDescent="0.3">
      <c r="J127" s="37" t="s">
        <v>151</v>
      </c>
    </row>
    <row r="128" spans="10:10" x14ac:dyDescent="0.3">
      <c r="J128" s="37" t="s">
        <v>152</v>
      </c>
    </row>
    <row r="129" spans="10:10" x14ac:dyDescent="0.3">
      <c r="J129" s="62" t="s">
        <v>164</v>
      </c>
    </row>
    <row r="130" spans="10:10" x14ac:dyDescent="0.3">
      <c r="J130" s="37" t="s">
        <v>154</v>
      </c>
    </row>
    <row r="131" spans="10:10" x14ac:dyDescent="0.3">
      <c r="J131" s="37" t="s">
        <v>155</v>
      </c>
    </row>
    <row r="132" spans="10:10" x14ac:dyDescent="0.3">
      <c r="J132" s="37" t="s">
        <v>156</v>
      </c>
    </row>
    <row r="134" spans="10:10" x14ac:dyDescent="0.3">
      <c r="J134" s="23" t="s">
        <v>114</v>
      </c>
    </row>
    <row r="135" spans="10:10" x14ac:dyDescent="0.3">
      <c r="J135" s="37" t="s">
        <v>140</v>
      </c>
    </row>
    <row r="136" spans="10:10" x14ac:dyDescent="0.3">
      <c r="J136" s="37" t="s">
        <v>141</v>
      </c>
    </row>
    <row r="137" spans="10:10" x14ac:dyDescent="0.3">
      <c r="J137" s="37" t="s">
        <v>142</v>
      </c>
    </row>
    <row r="138" spans="10:10" x14ac:dyDescent="0.3">
      <c r="J138" s="37" t="s">
        <v>143</v>
      </c>
    </row>
    <row r="139" spans="10:10" x14ac:dyDescent="0.3">
      <c r="J139" s="37"/>
    </row>
    <row r="140" spans="10:10" x14ac:dyDescent="0.3">
      <c r="J140" s="37" t="s">
        <v>145</v>
      </c>
    </row>
    <row r="141" spans="10:10" x14ac:dyDescent="0.3">
      <c r="J141" s="37" t="s">
        <v>145</v>
      </c>
    </row>
    <row r="142" spans="10:10" x14ac:dyDescent="0.3">
      <c r="J142" s="37" t="s">
        <v>146</v>
      </c>
    </row>
    <row r="143" spans="10:10" x14ac:dyDescent="0.3">
      <c r="J143" s="37" t="s">
        <v>147</v>
      </c>
    </row>
    <row r="144" spans="10:10" x14ac:dyDescent="0.3">
      <c r="J144" s="37" t="s">
        <v>148</v>
      </c>
    </row>
    <row r="145" spans="3:10" x14ac:dyDescent="0.3">
      <c r="J145" s="37" t="s">
        <v>149</v>
      </c>
    </row>
    <row r="146" spans="3:10" x14ac:dyDescent="0.3">
      <c r="J146" s="62" t="s">
        <v>150</v>
      </c>
    </row>
    <row r="147" spans="3:10" x14ac:dyDescent="0.3">
      <c r="J147" s="37" t="s">
        <v>151</v>
      </c>
    </row>
    <row r="148" spans="3:10" x14ac:dyDescent="0.3">
      <c r="J148" s="37" t="s">
        <v>152</v>
      </c>
    </row>
    <row r="149" spans="3:10" x14ac:dyDescent="0.3">
      <c r="J149" s="62" t="s">
        <v>164</v>
      </c>
    </row>
    <row r="150" spans="3:10" x14ac:dyDescent="0.3">
      <c r="C150" s="124">
        <v>0.15</v>
      </c>
      <c r="J150" s="37" t="s">
        <v>154</v>
      </c>
    </row>
    <row r="151" spans="3:10" x14ac:dyDescent="0.3">
      <c r="J151" s="37" t="s">
        <v>155</v>
      </c>
    </row>
    <row r="152" spans="3:10" x14ac:dyDescent="0.3">
      <c r="J152" s="37" t="s">
        <v>156</v>
      </c>
    </row>
    <row r="155" spans="3:10" x14ac:dyDescent="0.3">
      <c r="J155" s="23" t="s">
        <v>173</v>
      </c>
    </row>
    <row r="157" spans="3:10" x14ac:dyDescent="0.3">
      <c r="J157" s="37" t="s">
        <v>140</v>
      </c>
    </row>
    <row r="158" spans="3:10" x14ac:dyDescent="0.3">
      <c r="E158" s="23" t="s">
        <v>174</v>
      </c>
      <c r="H158" s="23" t="s">
        <v>175</v>
      </c>
      <c r="J158" s="37" t="s">
        <v>141</v>
      </c>
    </row>
    <row r="159" spans="3:10" x14ac:dyDescent="0.3">
      <c r="J159" s="37" t="s">
        <v>142</v>
      </c>
    </row>
    <row r="160" spans="3:10" x14ac:dyDescent="0.3">
      <c r="J160" s="37" t="s">
        <v>143</v>
      </c>
    </row>
    <row r="161" spans="8:10" x14ac:dyDescent="0.3">
      <c r="J161" s="37"/>
    </row>
    <row r="162" spans="8:10" x14ac:dyDescent="0.3">
      <c r="J162" s="37" t="s">
        <v>145</v>
      </c>
    </row>
    <row r="163" spans="8:10" x14ac:dyDescent="0.3">
      <c r="J163" s="37" t="s">
        <v>145</v>
      </c>
    </row>
    <row r="164" spans="8:10" x14ac:dyDescent="0.3">
      <c r="J164" s="37" t="s">
        <v>146</v>
      </c>
    </row>
    <row r="165" spans="8:10" x14ac:dyDescent="0.3">
      <c r="H165" s="23" t="s">
        <v>176</v>
      </c>
      <c r="J165" s="37" t="s">
        <v>147</v>
      </c>
    </row>
    <row r="166" spans="8:10" x14ac:dyDescent="0.3">
      <c r="J166" s="37" t="s">
        <v>148</v>
      </c>
    </row>
    <row r="167" spans="8:10" x14ac:dyDescent="0.3">
      <c r="J167" s="37" t="s">
        <v>149</v>
      </c>
    </row>
    <row r="168" spans="8:10" x14ac:dyDescent="0.3">
      <c r="J168" s="62" t="s">
        <v>150</v>
      </c>
    </row>
    <row r="169" spans="8:10" x14ac:dyDescent="0.3">
      <c r="J169" s="37" t="s">
        <v>151</v>
      </c>
    </row>
    <row r="170" spans="8:10" x14ac:dyDescent="0.3">
      <c r="J170" s="37" t="s">
        <v>152</v>
      </c>
    </row>
    <row r="171" spans="8:10" x14ac:dyDescent="0.3">
      <c r="J171" s="62" t="s">
        <v>164</v>
      </c>
    </row>
    <row r="172" spans="8:10" x14ac:dyDescent="0.3">
      <c r="J172" s="37" t="s">
        <v>154</v>
      </c>
    </row>
    <row r="173" spans="8:10" x14ac:dyDescent="0.3">
      <c r="J173" s="37" t="s">
        <v>155</v>
      </c>
    </row>
    <row r="174" spans="8:10" x14ac:dyDescent="0.3">
      <c r="J174" s="37" t="s">
        <v>156</v>
      </c>
    </row>
    <row r="177" spans="10:10" x14ac:dyDescent="0.3">
      <c r="J177" s="23" t="s">
        <v>177</v>
      </c>
    </row>
    <row r="180" spans="10:10" x14ac:dyDescent="0.3">
      <c r="J180" s="23" t="s">
        <v>178</v>
      </c>
    </row>
    <row r="182" spans="10:10" x14ac:dyDescent="0.3">
      <c r="J182" s="23" t="s">
        <v>179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19" workbookViewId="0">
      <selection activeCell="J30" sqref="J30"/>
    </sheetView>
  </sheetViews>
  <sheetFormatPr defaultRowHeight="14.4" x14ac:dyDescent="0.3"/>
  <cols>
    <col min="2" max="2" width="21.109375" customWidth="1"/>
    <col min="3" max="3" width="10.44140625" customWidth="1"/>
    <col min="4" max="4" width="15" customWidth="1"/>
    <col min="6" max="6" width="13.44140625" customWidth="1"/>
    <col min="7" max="7" width="12.44140625" customWidth="1"/>
    <col min="8" max="8" width="20.109375" customWidth="1"/>
  </cols>
  <sheetData>
    <row r="1" spans="1:9" x14ac:dyDescent="0.3">
      <c r="A1" s="23"/>
      <c r="B1" s="23"/>
      <c r="C1" s="23"/>
      <c r="D1" s="23"/>
      <c r="E1" s="24"/>
      <c r="F1" s="23"/>
      <c r="G1" s="23"/>
      <c r="H1" s="23"/>
      <c r="I1" s="23"/>
    </row>
    <row r="2" spans="1:9" x14ac:dyDescent="0.3">
      <c r="A2" s="23"/>
      <c r="B2" s="23"/>
      <c r="C2" s="23"/>
      <c r="D2" s="23"/>
      <c r="E2" s="23"/>
      <c r="F2" s="23" t="s">
        <v>20</v>
      </c>
      <c r="G2" s="23"/>
      <c r="H2" s="23"/>
      <c r="I2" s="23"/>
    </row>
    <row r="3" spans="1:9" x14ac:dyDescent="0.3">
      <c r="A3" s="23"/>
      <c r="B3" s="25" t="s">
        <v>21</v>
      </c>
      <c r="C3" s="25"/>
      <c r="D3" s="25"/>
      <c r="E3" s="23"/>
      <c r="F3" s="25" t="s">
        <v>22</v>
      </c>
      <c r="G3" s="25"/>
      <c r="H3" s="25"/>
      <c r="I3" s="23"/>
    </row>
    <row r="4" spans="1:9" x14ac:dyDescent="0.3">
      <c r="A4" s="23"/>
      <c r="B4" s="23" t="s">
        <v>23</v>
      </c>
      <c r="C4" s="23"/>
      <c r="D4" s="23"/>
      <c r="E4" s="23"/>
      <c r="F4" s="23" t="s">
        <v>23</v>
      </c>
      <c r="G4" s="23"/>
      <c r="H4" s="23"/>
      <c r="I4" s="23"/>
    </row>
    <row r="5" spans="1:9" ht="27.6" x14ac:dyDescent="0.3">
      <c r="A5" s="23"/>
      <c r="B5" s="20" t="s">
        <v>24</v>
      </c>
      <c r="C5" s="26" t="s">
        <v>25</v>
      </c>
      <c r="D5" s="26" t="s">
        <v>26</v>
      </c>
      <c r="E5" s="23"/>
      <c r="F5" s="20" t="s">
        <v>24</v>
      </c>
      <c r="G5" s="26" t="s">
        <v>25</v>
      </c>
      <c r="H5" s="26" t="s">
        <v>26</v>
      </c>
      <c r="I5" s="23"/>
    </row>
    <row r="6" spans="1:9" ht="27.6" x14ac:dyDescent="0.3">
      <c r="A6" s="23"/>
      <c r="B6" s="20" t="s">
        <v>27</v>
      </c>
      <c r="C6" s="27" t="s">
        <v>28</v>
      </c>
      <c r="D6" s="28">
        <v>1661881</v>
      </c>
      <c r="E6" s="23"/>
      <c r="F6" s="20" t="s">
        <v>27</v>
      </c>
      <c r="G6" s="27" t="s">
        <v>28</v>
      </c>
      <c r="H6" s="28">
        <v>8049755</v>
      </c>
      <c r="I6" s="23"/>
    </row>
    <row r="7" spans="1:9" ht="41.4" x14ac:dyDescent="0.3">
      <c r="A7" s="23"/>
      <c r="B7" s="20" t="s">
        <v>29</v>
      </c>
      <c r="C7" s="29" t="s">
        <v>30</v>
      </c>
      <c r="D7" s="29">
        <v>8.3798899999999992E-3</v>
      </c>
      <c r="E7" s="23"/>
      <c r="F7" s="20" t="s">
        <v>29</v>
      </c>
      <c r="G7" s="29" t="s">
        <v>30</v>
      </c>
      <c r="H7" s="29">
        <v>8.3690670000000009E-3</v>
      </c>
      <c r="I7" s="23"/>
    </row>
    <row r="8" spans="1:9" ht="27.6" x14ac:dyDescent="0.3">
      <c r="A8" s="23"/>
      <c r="B8" s="20" t="s">
        <v>31</v>
      </c>
      <c r="C8" s="29" t="s">
        <v>32</v>
      </c>
      <c r="D8" s="29">
        <v>13926.379973089999</v>
      </c>
      <c r="E8" s="23"/>
      <c r="F8" s="20" t="s">
        <v>31</v>
      </c>
      <c r="G8" s="29" t="s">
        <v>32</v>
      </c>
      <c r="H8" s="29">
        <v>67368.938928585005</v>
      </c>
      <c r="I8" s="23"/>
    </row>
    <row r="9" spans="1:9" ht="27.6" x14ac:dyDescent="0.3">
      <c r="A9" s="23"/>
      <c r="B9" s="20" t="s">
        <v>31</v>
      </c>
      <c r="C9" s="29" t="s">
        <v>33</v>
      </c>
      <c r="D9" s="29">
        <v>3868.3305651252094</v>
      </c>
      <c r="E9" s="23"/>
      <c r="F9" s="20" t="s">
        <v>31</v>
      </c>
      <c r="G9" s="29" t="s">
        <v>33</v>
      </c>
      <c r="H9" s="29">
        <v>18713.070166193058</v>
      </c>
      <c r="I9" s="23"/>
    </row>
    <row r="10" spans="1:9" x14ac:dyDescent="0.3">
      <c r="A10" s="23"/>
      <c r="B10" s="20" t="s">
        <v>34</v>
      </c>
      <c r="C10" s="29" t="s">
        <v>46</v>
      </c>
      <c r="D10" s="29">
        <v>98.78</v>
      </c>
      <c r="E10" s="23"/>
      <c r="F10" s="20" t="s">
        <v>34</v>
      </c>
      <c r="G10" s="29" t="s">
        <v>46</v>
      </c>
      <c r="H10" s="29">
        <v>102.12</v>
      </c>
      <c r="I10" s="23"/>
    </row>
    <row r="11" spans="1:9" ht="27.6" x14ac:dyDescent="0.3">
      <c r="A11" s="23"/>
      <c r="B11" s="20" t="s">
        <v>35</v>
      </c>
      <c r="C11" s="26"/>
      <c r="D11" s="29">
        <v>0.999</v>
      </c>
      <c r="E11" s="23"/>
      <c r="F11" s="20" t="s">
        <v>35</v>
      </c>
      <c r="G11" s="26"/>
      <c r="H11" s="29">
        <v>0.999</v>
      </c>
      <c r="I11" s="23"/>
    </row>
    <row r="12" spans="1:9" x14ac:dyDescent="0.3">
      <c r="A12" s="23"/>
      <c r="B12" s="20" t="s">
        <v>47</v>
      </c>
      <c r="C12" s="26" t="s">
        <v>48</v>
      </c>
      <c r="D12" s="28">
        <v>1374272</v>
      </c>
      <c r="E12" s="23"/>
      <c r="F12" s="20" t="s">
        <v>47</v>
      </c>
      <c r="G12" s="26" t="s">
        <v>48</v>
      </c>
      <c r="H12" s="28">
        <v>6872836</v>
      </c>
      <c r="I12" s="23"/>
    </row>
    <row r="13" spans="1:9" x14ac:dyDescent="0.3">
      <c r="A13" s="23"/>
      <c r="B13" s="23"/>
      <c r="C13" s="23"/>
      <c r="D13" s="23"/>
      <c r="E13" s="23"/>
      <c r="F13" s="23"/>
      <c r="G13" s="23"/>
      <c r="H13" s="23"/>
      <c r="I13" s="23"/>
    </row>
    <row r="14" spans="1:9" x14ac:dyDescent="0.3">
      <c r="A14" s="23"/>
      <c r="B14" s="30" t="s">
        <v>36</v>
      </c>
      <c r="C14" s="23"/>
      <c r="D14" s="23"/>
      <c r="E14" s="23"/>
      <c r="F14" s="30" t="s">
        <v>36</v>
      </c>
      <c r="G14" s="23"/>
      <c r="H14" s="23"/>
      <c r="I14" s="23"/>
    </row>
    <row r="15" spans="1:9" ht="27.6" x14ac:dyDescent="0.3">
      <c r="A15" s="23"/>
      <c r="B15" s="20" t="s">
        <v>24</v>
      </c>
      <c r="C15" s="26" t="s">
        <v>25</v>
      </c>
      <c r="D15" s="26" t="s">
        <v>26</v>
      </c>
      <c r="E15" s="23"/>
      <c r="F15" s="20" t="s">
        <v>24</v>
      </c>
      <c r="G15" s="26" t="s">
        <v>25</v>
      </c>
      <c r="H15" s="26" t="s">
        <v>26</v>
      </c>
      <c r="I15" s="23"/>
    </row>
    <row r="16" spans="1:9" ht="27.6" x14ac:dyDescent="0.3">
      <c r="A16" s="23"/>
      <c r="B16" s="20" t="s">
        <v>27</v>
      </c>
      <c r="C16" s="27" t="s">
        <v>28</v>
      </c>
      <c r="D16" s="28">
        <v>738</v>
      </c>
      <c r="E16" s="23"/>
      <c r="F16" s="20" t="s">
        <v>27</v>
      </c>
      <c r="G16" s="27" t="s">
        <v>28</v>
      </c>
      <c r="H16" s="28">
        <v>6102</v>
      </c>
      <c r="I16" s="23"/>
    </row>
    <row r="17" spans="1:11" ht="41.4" x14ac:dyDescent="0.3">
      <c r="A17" s="23"/>
      <c r="B17" s="20" t="s">
        <v>29</v>
      </c>
      <c r="C17" s="29" t="s">
        <v>30</v>
      </c>
      <c r="D17" s="29">
        <v>3.9699999999999999E-2</v>
      </c>
      <c r="E17" s="23"/>
      <c r="F17" s="20" t="s">
        <v>29</v>
      </c>
      <c r="G17" s="29" t="s">
        <v>30</v>
      </c>
      <c r="H17" s="29">
        <v>3.9699999999999999E-2</v>
      </c>
      <c r="I17" s="23"/>
    </row>
    <row r="18" spans="1:11" ht="27.6" x14ac:dyDescent="0.3">
      <c r="A18" s="23"/>
      <c r="B18" s="20" t="s">
        <v>31</v>
      </c>
      <c r="C18" s="29" t="s">
        <v>32</v>
      </c>
      <c r="D18" s="31">
        <v>29.2986</v>
      </c>
      <c r="E18" s="23"/>
      <c r="F18" s="20" t="s">
        <v>31</v>
      </c>
      <c r="G18" s="29" t="s">
        <v>32</v>
      </c>
      <c r="H18" s="31">
        <v>242.24940000000001</v>
      </c>
      <c r="I18" s="23"/>
    </row>
    <row r="19" spans="1:11" ht="27.6" x14ac:dyDescent="0.3">
      <c r="A19" s="23"/>
      <c r="B19" s="20" t="s">
        <v>31</v>
      </c>
      <c r="C19" s="29" t="s">
        <v>33</v>
      </c>
      <c r="D19" s="31">
        <v>8.1382721220000001</v>
      </c>
      <c r="E19" s="23"/>
      <c r="F19" s="20" t="s">
        <v>31</v>
      </c>
      <c r="G19" s="29" t="s">
        <v>33</v>
      </c>
      <c r="H19" s="31">
        <v>67.289615838000003</v>
      </c>
      <c r="I19" s="23"/>
    </row>
    <row r="20" spans="1:11" x14ac:dyDescent="0.3">
      <c r="A20" s="23"/>
      <c r="B20" s="32" t="s">
        <v>34</v>
      </c>
      <c r="C20" s="31" t="s">
        <v>46</v>
      </c>
      <c r="D20" s="31">
        <v>77.37</v>
      </c>
      <c r="E20" s="23"/>
      <c r="F20" s="32" t="s">
        <v>34</v>
      </c>
      <c r="G20" s="31" t="s">
        <v>46</v>
      </c>
      <c r="H20" s="31">
        <v>77.37</v>
      </c>
      <c r="I20" s="23"/>
    </row>
    <row r="21" spans="1:11" ht="27.6" x14ac:dyDescent="0.3">
      <c r="A21" s="23"/>
      <c r="B21" s="20" t="s">
        <v>35</v>
      </c>
      <c r="C21" s="26"/>
      <c r="D21" s="29">
        <v>0.999</v>
      </c>
      <c r="E21" s="23"/>
      <c r="F21" s="20" t="s">
        <v>35</v>
      </c>
      <c r="G21" s="26"/>
      <c r="H21" s="29">
        <v>0.999</v>
      </c>
      <c r="I21" s="23"/>
    </row>
    <row r="22" spans="1:11" x14ac:dyDescent="0.3">
      <c r="A22" s="23"/>
      <c r="B22" s="20" t="s">
        <v>47</v>
      </c>
      <c r="C22" s="26" t="s">
        <v>48</v>
      </c>
      <c r="D22" s="28">
        <v>2244</v>
      </c>
      <c r="E22" s="23"/>
      <c r="F22" s="20" t="s">
        <v>47</v>
      </c>
      <c r="G22" s="26" t="s">
        <v>48</v>
      </c>
      <c r="H22" s="28">
        <v>18555</v>
      </c>
      <c r="I22" s="23"/>
    </row>
    <row r="23" spans="1:11" x14ac:dyDescent="0.3">
      <c r="A23" s="23"/>
      <c r="B23" s="23"/>
      <c r="C23" s="23"/>
      <c r="D23" s="23"/>
      <c r="E23" s="23"/>
      <c r="F23" s="23"/>
      <c r="G23" s="23"/>
      <c r="H23" s="23"/>
      <c r="I23" s="23"/>
    </row>
    <row r="24" spans="1:11" x14ac:dyDescent="0.3">
      <c r="A24" s="23"/>
      <c r="B24" s="19" t="s">
        <v>37</v>
      </c>
      <c r="C24" s="23"/>
      <c r="D24" s="23"/>
      <c r="E24" s="23"/>
      <c r="F24" s="19" t="s">
        <v>37</v>
      </c>
      <c r="G24" s="23"/>
      <c r="H24" s="23"/>
      <c r="I24" s="23"/>
    </row>
    <row r="25" spans="1:11" ht="27.6" x14ac:dyDescent="0.3">
      <c r="A25" s="23"/>
      <c r="B25" s="20" t="s">
        <v>24</v>
      </c>
      <c r="C25" s="26" t="s">
        <v>25</v>
      </c>
      <c r="D25" s="26" t="s">
        <v>26</v>
      </c>
      <c r="E25" s="23"/>
      <c r="F25" s="20" t="s">
        <v>24</v>
      </c>
      <c r="G25" s="26" t="s">
        <v>25</v>
      </c>
      <c r="H25" s="26" t="s">
        <v>26</v>
      </c>
      <c r="I25" s="23"/>
    </row>
    <row r="26" spans="1:11" ht="28.2" thickBot="1" x14ac:dyDescent="0.35">
      <c r="A26" s="23"/>
      <c r="B26" s="20" t="s">
        <v>27</v>
      </c>
      <c r="C26" s="33" t="s">
        <v>49</v>
      </c>
      <c r="D26" s="34">
        <v>12760000</v>
      </c>
      <c r="E26" s="23"/>
      <c r="F26" s="20" t="s">
        <v>27</v>
      </c>
      <c r="G26" s="33" t="s">
        <v>49</v>
      </c>
      <c r="H26" s="34">
        <v>45384000</v>
      </c>
      <c r="I26" s="23" t="s">
        <v>52</v>
      </c>
    </row>
    <row r="27" spans="1:11" ht="42" thickBot="1" x14ac:dyDescent="0.35">
      <c r="A27" s="23"/>
      <c r="B27" s="20" t="s">
        <v>29</v>
      </c>
      <c r="C27" s="35" t="s">
        <v>50</v>
      </c>
      <c r="D27" s="35">
        <v>4.3300000000000002E-5</v>
      </c>
      <c r="E27" s="23"/>
      <c r="F27" s="20" t="s">
        <v>29</v>
      </c>
      <c r="G27" s="35" t="s">
        <v>50</v>
      </c>
      <c r="H27" s="35">
        <v>4.3300000000000002E-5</v>
      </c>
      <c r="I27" s="23">
        <f>H27*1000</f>
        <v>4.3300000000000005E-2</v>
      </c>
      <c r="J27">
        <f>I27*1000</f>
        <v>43.300000000000004</v>
      </c>
      <c r="K27" t="s">
        <v>51</v>
      </c>
    </row>
    <row r="28" spans="1:11" ht="28.2" thickBot="1" x14ac:dyDescent="0.35">
      <c r="A28" s="23"/>
      <c r="B28" s="20" t="s">
        <v>31</v>
      </c>
      <c r="C28" s="29" t="s">
        <v>32</v>
      </c>
      <c r="D28" s="35">
        <v>552.50800000000004</v>
      </c>
      <c r="E28" s="23"/>
      <c r="F28" s="20" t="s">
        <v>31</v>
      </c>
      <c r="G28" s="29" t="s">
        <v>32</v>
      </c>
      <c r="H28" s="35">
        <v>1965.1272000000001</v>
      </c>
      <c r="I28" s="23"/>
    </row>
    <row r="29" spans="1:11" ht="28.2" thickBot="1" x14ac:dyDescent="0.35">
      <c r="A29" s="23"/>
      <c r="B29" s="20" t="s">
        <v>31</v>
      </c>
      <c r="C29" s="29" t="s">
        <v>33</v>
      </c>
      <c r="D29" s="35">
        <v>153.47014716000001</v>
      </c>
      <c r="E29" s="23"/>
      <c r="F29" s="20" t="s">
        <v>31</v>
      </c>
      <c r="G29" s="29" t="s">
        <v>33</v>
      </c>
      <c r="H29" s="35">
        <v>545.85338234400012</v>
      </c>
      <c r="I29" s="23"/>
    </row>
    <row r="30" spans="1:11" ht="15" thickBot="1" x14ac:dyDescent="0.35">
      <c r="A30" s="23"/>
      <c r="B30" s="32" t="s">
        <v>34</v>
      </c>
      <c r="C30" s="35" t="s">
        <v>46</v>
      </c>
      <c r="D30" s="35">
        <v>56.1</v>
      </c>
      <c r="E30" s="23"/>
      <c r="F30" s="32" t="s">
        <v>34</v>
      </c>
      <c r="G30" s="35" t="s">
        <v>46</v>
      </c>
      <c r="H30" s="35">
        <v>56.1</v>
      </c>
      <c r="I30" s="23"/>
    </row>
    <row r="31" spans="1:11" ht="28.2" thickBot="1" x14ac:dyDescent="0.35">
      <c r="A31" s="23"/>
      <c r="B31" s="20" t="s">
        <v>35</v>
      </c>
      <c r="C31" s="36"/>
      <c r="D31" s="35">
        <v>0.995</v>
      </c>
      <c r="E31" s="23"/>
      <c r="F31" s="20" t="s">
        <v>35</v>
      </c>
      <c r="G31" s="36"/>
      <c r="H31" s="35">
        <v>0.995</v>
      </c>
      <c r="I31" s="23"/>
    </row>
    <row r="32" spans="1:11" ht="15" thickBot="1" x14ac:dyDescent="0.35">
      <c r="A32" s="23"/>
      <c r="B32" s="20" t="s">
        <v>47</v>
      </c>
      <c r="C32" s="36" t="s">
        <v>48</v>
      </c>
      <c r="D32" s="34">
        <v>30841</v>
      </c>
      <c r="E32" s="23"/>
      <c r="F32" s="20" t="s">
        <v>47</v>
      </c>
      <c r="G32" s="36" t="s">
        <v>48</v>
      </c>
      <c r="H32" s="34">
        <v>109692</v>
      </c>
      <c r="I32" s="23"/>
    </row>
    <row r="33" spans="1:9" x14ac:dyDescent="0.3">
      <c r="A33" s="23"/>
      <c r="B33" s="23"/>
      <c r="C33" s="23"/>
      <c r="D33" s="23"/>
      <c r="E33" s="23"/>
      <c r="F33" s="23"/>
      <c r="G33" s="23"/>
      <c r="H33" s="23"/>
      <c r="I33" s="23"/>
    </row>
    <row r="34" spans="1:9" ht="41.4" x14ac:dyDescent="0.3">
      <c r="A34" s="23"/>
      <c r="B34" s="20" t="s">
        <v>38</v>
      </c>
      <c r="C34" s="37" t="s">
        <v>33</v>
      </c>
      <c r="D34" s="37">
        <v>4029.9389844072093</v>
      </c>
      <c r="E34" s="23"/>
      <c r="F34" s="20" t="s">
        <v>38</v>
      </c>
      <c r="G34" s="37" t="s">
        <v>33</v>
      </c>
      <c r="H34" s="37">
        <v>19326.213164375058</v>
      </c>
      <c r="I34" s="23"/>
    </row>
    <row r="35" spans="1:9" ht="55.2" x14ac:dyDescent="0.3">
      <c r="A35" s="23"/>
      <c r="B35" s="20" t="s">
        <v>39</v>
      </c>
      <c r="C35" s="37"/>
      <c r="D35" s="37">
        <v>0.95989804810760138</v>
      </c>
      <c r="E35" s="23"/>
      <c r="F35" s="20" t="s">
        <v>39</v>
      </c>
      <c r="G35" s="37"/>
      <c r="H35" s="37">
        <v>0.96827402280172314</v>
      </c>
      <c r="I35" s="23"/>
    </row>
    <row r="36" spans="1:9" ht="27.6" x14ac:dyDescent="0.3">
      <c r="A36" s="23"/>
      <c r="B36" s="21" t="s">
        <v>40</v>
      </c>
      <c r="C36" s="38" t="s">
        <v>41</v>
      </c>
      <c r="D36" s="38">
        <v>1439.5563106090597</v>
      </c>
      <c r="E36" s="23"/>
      <c r="F36" s="22" t="s">
        <v>40</v>
      </c>
      <c r="G36" s="39" t="s">
        <v>41</v>
      </c>
      <c r="H36" s="39">
        <v>5682.6680743909401</v>
      </c>
      <c r="I36" s="23"/>
    </row>
    <row r="37" spans="1:9" ht="69" x14ac:dyDescent="0.3">
      <c r="A37" s="23"/>
      <c r="B37" s="20" t="s">
        <v>42</v>
      </c>
      <c r="C37" s="37" t="s">
        <v>33</v>
      </c>
      <c r="D37" s="37">
        <v>1381.8272926946163</v>
      </c>
      <c r="E37" s="23"/>
      <c r="F37" s="20" t="s">
        <v>42</v>
      </c>
      <c r="G37" s="37" t="s">
        <v>33</v>
      </c>
      <c r="H37" s="37">
        <v>5502.3798766374375</v>
      </c>
      <c r="I37" s="23"/>
    </row>
    <row r="38" spans="1:9" ht="43.2" x14ac:dyDescent="0.3">
      <c r="A38" s="23"/>
      <c r="B38" s="40" t="s">
        <v>43</v>
      </c>
      <c r="C38" s="41"/>
      <c r="D38" s="41">
        <v>994.53239002112684</v>
      </c>
      <c r="E38" s="23"/>
      <c r="F38" s="41" t="s">
        <v>44</v>
      </c>
      <c r="G38" s="41"/>
      <c r="H38" s="41">
        <v>1249.0660685172581</v>
      </c>
      <c r="I38" s="23"/>
    </row>
    <row r="39" spans="1:9" x14ac:dyDescent="0.3">
      <c r="A39" s="23"/>
      <c r="B39" s="23"/>
      <c r="C39" s="23"/>
      <c r="D39" s="23"/>
      <c r="E39" s="23"/>
      <c r="F39" s="23"/>
      <c r="G39" s="23"/>
      <c r="H39" s="23"/>
      <c r="I39" s="23"/>
    </row>
    <row r="40" spans="1:9" x14ac:dyDescent="0.3">
      <c r="A40" s="23"/>
      <c r="B40" s="42" t="s">
        <v>40</v>
      </c>
      <c r="C40" s="43" t="s">
        <v>33</v>
      </c>
      <c r="D40" s="44">
        <v>1439.5563106090597</v>
      </c>
      <c r="E40" s="23"/>
      <c r="F40" s="42" t="s">
        <v>40</v>
      </c>
      <c r="G40" s="43" t="s">
        <v>33</v>
      </c>
      <c r="H40" s="44">
        <v>5682.6680743909401</v>
      </c>
      <c r="I40" s="23"/>
    </row>
    <row r="41" spans="1:9" x14ac:dyDescent="0.3">
      <c r="A41" s="23"/>
      <c r="B41" s="23"/>
      <c r="C41" s="23"/>
      <c r="D41" s="23"/>
      <c r="E41" s="23"/>
      <c r="F41" s="23"/>
      <c r="G41" s="23"/>
      <c r="H41" s="23"/>
      <c r="I41" s="23"/>
    </row>
    <row r="42" spans="1:9" x14ac:dyDescent="0.3">
      <c r="A42" s="23"/>
      <c r="B42" s="25" t="s">
        <v>45</v>
      </c>
      <c r="C42" s="25"/>
      <c r="D42" s="25">
        <v>0.35721541099729914</v>
      </c>
      <c r="E42" s="23"/>
      <c r="F42" s="23"/>
      <c r="G42" s="23"/>
      <c r="H42" s="23">
        <v>0.29403939747834701</v>
      </c>
      <c r="I42" s="23"/>
    </row>
    <row r="43" spans="1:9" x14ac:dyDescent="0.3">
      <c r="A43" s="23"/>
      <c r="B43" s="23"/>
      <c r="C43" s="23"/>
      <c r="D43" s="23"/>
      <c r="E43" s="23"/>
      <c r="F43" s="23"/>
      <c r="G43" s="23"/>
      <c r="H43" s="23"/>
      <c r="I43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TSK õlitootmise tootmishind</vt:lpstr>
      <vt:lpstr>gaasist elekter</vt:lpstr>
      <vt:lpstr>15 20 25 mln</vt:lpstr>
      <vt:lpstr>Narva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Siirde</dc:creator>
  <cp:lastModifiedBy>Jaanus Uiga</cp:lastModifiedBy>
  <cp:lastPrinted>2014-02-13T21:05:24Z</cp:lastPrinted>
  <dcterms:created xsi:type="dcterms:W3CDTF">2014-02-07T09:20:57Z</dcterms:created>
  <dcterms:modified xsi:type="dcterms:W3CDTF">2014-08-06T06:54:45Z</dcterms:modified>
</cp:coreProperties>
</file>